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15" windowHeight="11910" tabRatio="892"/>
  </bookViews>
  <sheets>
    <sheet name="SUM CATEGORY" sheetId="15" r:id="rId1"/>
    <sheet name="Summary" sheetId="8" r:id="rId2"/>
    <sheet name="Personnel Costs" sheetId="9" r:id="rId3"/>
    <sheet name="Personnel Requests" sheetId="10" r:id="rId4"/>
    <sheet name="Misc" sheetId="11" r:id="rId5"/>
    <sheet name="Equipment" sheetId="12" r:id="rId6"/>
    <sheet name="Capital Improv" sheetId="6" r:id="rId7"/>
    <sheet name="Sheet1" sheetId="13" r:id="rId8"/>
  </sheets>
  <definedNames>
    <definedName name="_xlnm.Print_Area" localSheetId="5">Equipment!$A$1:$I$180</definedName>
    <definedName name="_xlnm.Print_Area" localSheetId="4">Misc!$A$1:$I$180</definedName>
    <definedName name="_xlnm.Print_Titles" localSheetId="2">'Personnel Costs'!$14:$15</definedName>
    <definedName name="_xlnm.Print_Titles" localSheetId="3">'Personnel Requests'!$14:$15</definedName>
  </definedNames>
  <calcPr calcId="145621"/>
</workbook>
</file>

<file path=xl/calcChain.xml><?xml version="1.0" encoding="utf-8"?>
<calcChain xmlns="http://schemas.openxmlformats.org/spreadsheetml/2006/main">
  <c r="H16" i="10" l="1"/>
  <c r="I16" i="10" s="1"/>
  <c r="H17" i="10"/>
  <c r="I17" i="10" s="1"/>
  <c r="M17" i="10"/>
  <c r="R17" i="10"/>
  <c r="T17" i="10" s="1"/>
  <c r="S17" i="10"/>
  <c r="H18" i="10"/>
  <c r="I18" i="10"/>
  <c r="H19" i="10"/>
  <c r="I19" i="10"/>
  <c r="M19" i="10"/>
  <c r="R19" i="10"/>
  <c r="S19" i="10"/>
  <c r="H20" i="10"/>
  <c r="I20" i="10" s="1"/>
  <c r="H21" i="10"/>
  <c r="I21" i="10" s="1"/>
  <c r="M21" i="10"/>
  <c r="R21" i="10"/>
  <c r="S21" i="10"/>
  <c r="H22" i="10"/>
  <c r="I22" i="10" s="1"/>
  <c r="H23" i="10"/>
  <c r="I23" i="10" s="1"/>
  <c r="M23" i="10"/>
  <c r="R23" i="10"/>
  <c r="S23" i="10"/>
  <c r="H24" i="10"/>
  <c r="I24" i="10" s="1"/>
  <c r="H25" i="10"/>
  <c r="I25" i="10" s="1"/>
  <c r="M25" i="10"/>
  <c r="R25" i="10"/>
  <c r="S25" i="10"/>
  <c r="T23" i="10" l="1"/>
  <c r="T21" i="10"/>
  <c r="T25" i="10"/>
  <c r="J23" i="10"/>
  <c r="J19" i="10"/>
  <c r="J25" i="10"/>
  <c r="T19" i="10"/>
  <c r="J21" i="10"/>
  <c r="J17" i="10"/>
  <c r="O14" i="8"/>
  <c r="N14" i="8"/>
  <c r="O13" i="8"/>
  <c r="N13" i="8"/>
  <c r="T328" i="9"/>
  <c r="S328" i="9"/>
  <c r="R328" i="9"/>
  <c r="P328" i="9"/>
  <c r="O328" i="9"/>
  <c r="M328" i="9"/>
  <c r="L328" i="9"/>
  <c r="T320" i="9"/>
  <c r="S320" i="9"/>
  <c r="R320" i="9"/>
  <c r="P320" i="9"/>
  <c r="O320" i="9"/>
  <c r="M320" i="9"/>
  <c r="L320" i="9"/>
  <c r="I324" i="9" l="1"/>
  <c r="J324" i="9" s="1"/>
  <c r="U319" i="9"/>
  <c r="V319" i="9" s="1"/>
  <c r="I319" i="9"/>
  <c r="Q65" i="8" l="1"/>
  <c r="R65" i="8"/>
  <c r="P68" i="8"/>
  <c r="P27" i="8"/>
  <c r="S28" i="10"/>
  <c r="R28" i="10"/>
  <c r="H28" i="10"/>
  <c r="I28" i="10" s="1"/>
  <c r="H27" i="10"/>
  <c r="I27" i="10" s="1"/>
  <c r="S247" i="9"/>
  <c r="R247" i="9"/>
  <c r="S185" i="9"/>
  <c r="R185" i="9"/>
  <c r="I178" i="9"/>
  <c r="I176" i="9"/>
  <c r="I174" i="9"/>
  <c r="I172" i="9"/>
  <c r="I170" i="9"/>
  <c r="I168" i="9"/>
  <c r="S153" i="9"/>
  <c r="R153" i="9"/>
  <c r="S151" i="9"/>
  <c r="R151" i="9"/>
  <c r="S119" i="9"/>
  <c r="R119" i="9"/>
  <c r="S113" i="9"/>
  <c r="R113" i="9"/>
  <c r="S117" i="9"/>
  <c r="R117" i="9"/>
  <c r="S103" i="9"/>
  <c r="R103" i="9"/>
  <c r="S97" i="9"/>
  <c r="R97" i="9"/>
  <c r="S85" i="9"/>
  <c r="R85" i="9"/>
  <c r="S73" i="9"/>
  <c r="R73" i="9"/>
  <c r="M73" i="9"/>
  <c r="S75" i="9"/>
  <c r="R75" i="9"/>
  <c r="M75" i="9"/>
  <c r="S69" i="9"/>
  <c r="R69" i="9"/>
  <c r="M69" i="9"/>
  <c r="S65" i="9"/>
  <c r="R65" i="9"/>
  <c r="M65" i="9"/>
  <c r="S23" i="9"/>
  <c r="R23" i="9"/>
  <c r="M23" i="9"/>
  <c r="S57" i="9"/>
  <c r="R57" i="9"/>
  <c r="M57" i="9"/>
  <c r="S55" i="9"/>
  <c r="R55" i="9"/>
  <c r="M55" i="9"/>
  <c r="M53" i="9"/>
  <c r="R53" i="9"/>
  <c r="S53" i="9"/>
  <c r="M68" i="8"/>
  <c r="M70" i="8" s="1"/>
  <c r="I68" i="8"/>
  <c r="S99" i="9"/>
  <c r="R99" i="9"/>
  <c r="S95" i="9"/>
  <c r="R95" i="9"/>
  <c r="S93" i="9"/>
  <c r="R93" i="9"/>
  <c r="S91" i="9"/>
  <c r="R91" i="9"/>
  <c r="S89" i="9"/>
  <c r="R89" i="9"/>
  <c r="S87" i="9"/>
  <c r="R87" i="9"/>
  <c r="S83" i="9"/>
  <c r="R83" i="9"/>
  <c r="S81" i="9"/>
  <c r="R81" i="9"/>
  <c r="S71" i="9"/>
  <c r="R71" i="9"/>
  <c r="M71" i="9"/>
  <c r="S67" i="9"/>
  <c r="R67" i="9"/>
  <c r="M67" i="9"/>
  <c r="S63" i="9"/>
  <c r="R63" i="9"/>
  <c r="M63" i="9"/>
  <c r="S61" i="9"/>
  <c r="R61" i="9"/>
  <c r="M61" i="9"/>
  <c r="S59" i="9"/>
  <c r="R59" i="9"/>
  <c r="M59" i="9"/>
  <c r="S51" i="9"/>
  <c r="R51" i="9"/>
  <c r="M51" i="9"/>
  <c r="S49" i="9"/>
  <c r="R49" i="9"/>
  <c r="M49" i="9"/>
  <c r="S47" i="9"/>
  <c r="R47" i="9"/>
  <c r="M47" i="9"/>
  <c r="S45" i="9"/>
  <c r="R45" i="9"/>
  <c r="M45" i="9"/>
  <c r="S43" i="9"/>
  <c r="R43" i="9"/>
  <c r="M43" i="9"/>
  <c r="S41" i="9"/>
  <c r="R41" i="9"/>
  <c r="M41" i="9"/>
  <c r="S39" i="9"/>
  <c r="R39" i="9"/>
  <c r="M39" i="9"/>
  <c r="S37" i="9"/>
  <c r="R37" i="9"/>
  <c r="M37" i="9"/>
  <c r="S35" i="9"/>
  <c r="R35" i="9"/>
  <c r="M35" i="9"/>
  <c r="S33" i="9"/>
  <c r="R33" i="9"/>
  <c r="M33" i="9"/>
  <c r="S31" i="9"/>
  <c r="R31" i="9"/>
  <c r="M31" i="9"/>
  <c r="S29" i="9"/>
  <c r="R29" i="9"/>
  <c r="M29" i="9"/>
  <c r="S27" i="9"/>
  <c r="R27" i="9"/>
  <c r="M27" i="9"/>
  <c r="S25" i="9"/>
  <c r="R25" i="9"/>
  <c r="M25" i="9"/>
  <c r="S21" i="9"/>
  <c r="R21" i="9"/>
  <c r="M21" i="9"/>
  <c r="S19" i="9"/>
  <c r="R19" i="9"/>
  <c r="M19" i="9"/>
  <c r="S163" i="9"/>
  <c r="R163" i="9"/>
  <c r="S161" i="9"/>
  <c r="R161" i="9"/>
  <c r="S159" i="9"/>
  <c r="R159" i="9"/>
  <c r="S157" i="9"/>
  <c r="R157" i="9"/>
  <c r="S155" i="9"/>
  <c r="R155" i="9"/>
  <c r="S149" i="9"/>
  <c r="R149" i="9"/>
  <c r="S147" i="9"/>
  <c r="R147" i="9"/>
  <c r="S145" i="9"/>
  <c r="R145" i="9"/>
  <c r="S143" i="9"/>
  <c r="R143" i="9"/>
  <c r="S141" i="9"/>
  <c r="R141" i="9"/>
  <c r="S139" i="9"/>
  <c r="R139" i="9"/>
  <c r="S137" i="9"/>
  <c r="R137" i="9"/>
  <c r="S135" i="9"/>
  <c r="R135" i="9"/>
  <c r="S133" i="9"/>
  <c r="R133" i="9"/>
  <c r="S131" i="9"/>
  <c r="R131" i="9"/>
  <c r="S129" i="9"/>
  <c r="R129" i="9"/>
  <c r="S127" i="9"/>
  <c r="R127" i="9"/>
  <c r="S125" i="9"/>
  <c r="R125" i="9"/>
  <c r="S123" i="9"/>
  <c r="R123" i="9"/>
  <c r="S121" i="9"/>
  <c r="R121" i="9"/>
  <c r="S115" i="9"/>
  <c r="R115" i="9"/>
  <c r="S111" i="9"/>
  <c r="R111" i="9"/>
  <c r="S109" i="9"/>
  <c r="R109" i="9"/>
  <c r="S107" i="9"/>
  <c r="R107" i="9"/>
  <c r="S105" i="9"/>
  <c r="R105" i="9"/>
  <c r="S101" i="9"/>
  <c r="R101" i="9"/>
  <c r="S251" i="9"/>
  <c r="R251" i="9"/>
  <c r="S249" i="9"/>
  <c r="R249" i="9"/>
  <c r="S213" i="9"/>
  <c r="R213" i="9"/>
  <c r="S205" i="9"/>
  <c r="R205" i="9"/>
  <c r="S203" i="9"/>
  <c r="R203" i="9"/>
  <c r="S201" i="9"/>
  <c r="R201" i="9"/>
  <c r="S199" i="9"/>
  <c r="R199" i="9"/>
  <c r="S197" i="9"/>
  <c r="R197" i="9"/>
  <c r="S195" i="9"/>
  <c r="R195" i="9"/>
  <c r="S191" i="9"/>
  <c r="R191" i="9"/>
  <c r="S189" i="9"/>
  <c r="R189" i="9"/>
  <c r="S183" i="9"/>
  <c r="R183" i="9"/>
  <c r="S181" i="9"/>
  <c r="R181" i="9"/>
  <c r="S261" i="9"/>
  <c r="R261" i="9"/>
  <c r="S259" i="9"/>
  <c r="R259" i="9"/>
  <c r="S257" i="9"/>
  <c r="R257" i="9"/>
  <c r="S255" i="9"/>
  <c r="R255" i="9"/>
  <c r="S253" i="9"/>
  <c r="R253" i="9"/>
  <c r="T28" i="10" l="1"/>
  <c r="T247" i="9"/>
  <c r="J28" i="10"/>
  <c r="T185" i="9"/>
  <c r="T113" i="9"/>
  <c r="T153" i="9"/>
  <c r="T119" i="9"/>
  <c r="T151" i="9"/>
  <c r="T97" i="9"/>
  <c r="T117" i="9"/>
  <c r="T85" i="9"/>
  <c r="T103" i="9"/>
  <c r="T73" i="9"/>
  <c r="T69" i="9"/>
  <c r="T75" i="9"/>
  <c r="T65" i="9"/>
  <c r="T53" i="9"/>
  <c r="T23" i="9"/>
  <c r="T57" i="9"/>
  <c r="T55" i="9"/>
  <c r="T59" i="9"/>
  <c r="T47" i="9"/>
  <c r="T31" i="9"/>
  <c r="T39" i="9"/>
  <c r="T105" i="9"/>
  <c r="T115" i="9"/>
  <c r="T133" i="9"/>
  <c r="T149" i="9"/>
  <c r="T157" i="9"/>
  <c r="T27" i="9"/>
  <c r="T51" i="9"/>
  <c r="T71" i="9"/>
  <c r="T195" i="9"/>
  <c r="T203" i="9"/>
  <c r="T123" i="9"/>
  <c r="T159" i="9"/>
  <c r="T21" i="9"/>
  <c r="T63" i="9"/>
  <c r="T81" i="9"/>
  <c r="T107" i="9"/>
  <c r="T137" i="9"/>
  <c r="T87" i="9"/>
  <c r="T95" i="9"/>
  <c r="T135" i="9"/>
  <c r="T67" i="9"/>
  <c r="T101" i="9"/>
  <c r="T155" i="9"/>
  <c r="T83" i="9"/>
  <c r="T121" i="9"/>
  <c r="T129" i="9"/>
  <c r="T139" i="9"/>
  <c r="T29" i="9"/>
  <c r="T35" i="9"/>
  <c r="T43" i="9"/>
  <c r="T91" i="9"/>
  <c r="T93" i="9"/>
  <c r="T145" i="9"/>
  <c r="T109" i="9"/>
  <c r="T19" i="9"/>
  <c r="T255" i="9"/>
  <c r="T131" i="9"/>
  <c r="T141" i="9"/>
  <c r="T143" i="9"/>
  <c r="T25" i="9"/>
  <c r="T33" i="9"/>
  <c r="T41" i="9"/>
  <c r="T49" i="9"/>
  <c r="T61" i="9"/>
  <c r="T89" i="9"/>
  <c r="T99" i="9"/>
  <c r="T259" i="9"/>
  <c r="T199" i="9"/>
  <c r="T249" i="9"/>
  <c r="T111" i="9"/>
  <c r="T125" i="9"/>
  <c r="T127" i="9"/>
  <c r="T147" i="9"/>
  <c r="T161" i="9"/>
  <c r="T163" i="9"/>
  <c r="T37" i="9"/>
  <c r="T45" i="9"/>
  <c r="T253" i="9"/>
  <c r="T181" i="9"/>
  <c r="T191" i="9"/>
  <c r="T257" i="9"/>
  <c r="T183" i="9"/>
  <c r="T201" i="9"/>
  <c r="T251" i="9"/>
  <c r="T189" i="9"/>
  <c r="T197" i="9"/>
  <c r="T205" i="9"/>
  <c r="T213" i="9"/>
  <c r="T261" i="9"/>
  <c r="P6" i="9" l="1"/>
  <c r="O6" i="9"/>
  <c r="N324" i="9"/>
  <c r="U324" i="9" s="1"/>
  <c r="V324" i="9" s="1"/>
  <c r="H309" i="9" l="1"/>
  <c r="I309" i="9" s="1"/>
  <c r="H294" i="9"/>
  <c r="I294" i="9" s="1"/>
  <c r="H308" i="9"/>
  <c r="I308" i="9" s="1"/>
  <c r="H295" i="9"/>
  <c r="I295" i="9" s="1"/>
  <c r="H246" i="9"/>
  <c r="I246" i="9" s="1"/>
  <c r="H284" i="9"/>
  <c r="I284" i="9" s="1"/>
  <c r="H285" i="9"/>
  <c r="I285" i="9" s="1"/>
  <c r="H247" i="9"/>
  <c r="I247" i="9" s="1"/>
  <c r="H230" i="9"/>
  <c r="I230" i="9" s="1"/>
  <c r="H242" i="9"/>
  <c r="I242" i="9" s="1"/>
  <c r="H231" i="9"/>
  <c r="I231" i="9" s="1"/>
  <c r="H243" i="9"/>
  <c r="I243" i="9" s="1"/>
  <c r="H226" i="9"/>
  <c r="I226" i="9" s="1"/>
  <c r="H228" i="9"/>
  <c r="I228" i="9" s="1"/>
  <c r="H221" i="9"/>
  <c r="I221" i="9" s="1"/>
  <c r="H229" i="9"/>
  <c r="I229" i="9" s="1"/>
  <c r="H227" i="9"/>
  <c r="I227" i="9" s="1"/>
  <c r="H220" i="9"/>
  <c r="I220" i="9" s="1"/>
  <c r="H185" i="9"/>
  <c r="I185" i="9" s="1"/>
  <c r="H166" i="9"/>
  <c r="I166" i="9" s="1"/>
  <c r="H184" i="9"/>
  <c r="I184" i="9" s="1"/>
  <c r="H177" i="9"/>
  <c r="I177" i="9" s="1"/>
  <c r="J177" i="9" s="1"/>
  <c r="H179" i="9"/>
  <c r="I179" i="9" s="1"/>
  <c r="J179" i="9" s="1"/>
  <c r="H171" i="9"/>
  <c r="I171" i="9" s="1"/>
  <c r="J171" i="9" s="1"/>
  <c r="L171" i="9" s="1"/>
  <c r="H169" i="9"/>
  <c r="I169" i="9" s="1"/>
  <c r="J169" i="9" s="1"/>
  <c r="L169" i="9" s="1"/>
  <c r="H175" i="9"/>
  <c r="I175" i="9" s="1"/>
  <c r="J175" i="9" s="1"/>
  <c r="L175" i="9" s="1"/>
  <c r="H173" i="9"/>
  <c r="I173" i="9" s="1"/>
  <c r="J173" i="9" s="1"/>
  <c r="H153" i="9"/>
  <c r="I153" i="9" s="1"/>
  <c r="H167" i="9"/>
  <c r="I167" i="9" s="1"/>
  <c r="H150" i="9"/>
  <c r="I150" i="9" s="1"/>
  <c r="H152" i="9"/>
  <c r="I152" i="9" s="1"/>
  <c r="H151" i="9"/>
  <c r="I151" i="9" s="1"/>
  <c r="H112" i="9"/>
  <c r="I112" i="9" s="1"/>
  <c r="H118" i="9"/>
  <c r="I118" i="9" s="1"/>
  <c r="H113" i="9"/>
  <c r="I113" i="9" s="1"/>
  <c r="H119" i="9"/>
  <c r="I119" i="9" s="1"/>
  <c r="H102" i="9"/>
  <c r="I102" i="9" s="1"/>
  <c r="H116" i="9"/>
  <c r="I116" i="9" s="1"/>
  <c r="H117" i="9"/>
  <c r="I117" i="9" s="1"/>
  <c r="H103" i="9"/>
  <c r="I103" i="9" s="1"/>
  <c r="H84" i="9"/>
  <c r="I84" i="9" s="1"/>
  <c r="H96" i="9"/>
  <c r="I96" i="9" s="1"/>
  <c r="H85" i="9"/>
  <c r="I85" i="9" s="1"/>
  <c r="H97" i="9"/>
  <c r="I97" i="9" s="1"/>
  <c r="H72" i="9"/>
  <c r="I72" i="9" s="1"/>
  <c r="H76" i="9"/>
  <c r="I76" i="9" s="1"/>
  <c r="H73" i="9"/>
  <c r="I73" i="9" s="1"/>
  <c r="H77" i="9"/>
  <c r="I77" i="9" s="1"/>
  <c r="H69" i="9"/>
  <c r="I69" i="9" s="1"/>
  <c r="H75" i="9"/>
  <c r="I75" i="9" s="1"/>
  <c r="H68" i="9"/>
  <c r="I68" i="9" s="1"/>
  <c r="H74" i="9"/>
  <c r="I74" i="9" s="1"/>
  <c r="H65" i="9"/>
  <c r="I65" i="9" s="1"/>
  <c r="H22" i="9"/>
  <c r="I22" i="9" s="1"/>
  <c r="H64" i="9"/>
  <c r="I64" i="9" s="1"/>
  <c r="H23" i="9"/>
  <c r="I23" i="9" s="1"/>
  <c r="H54" i="9"/>
  <c r="I54" i="9" s="1"/>
  <c r="H56" i="9"/>
  <c r="I56" i="9" s="1"/>
  <c r="H57" i="9"/>
  <c r="I57" i="9" s="1"/>
  <c r="H53" i="9"/>
  <c r="I53" i="9" s="1"/>
  <c r="H55" i="9"/>
  <c r="I55" i="9" s="1"/>
  <c r="H99" i="9"/>
  <c r="I99" i="9" s="1"/>
  <c r="H89" i="9"/>
  <c r="I89" i="9" s="1"/>
  <c r="H79" i="9"/>
  <c r="I79" i="9" s="1"/>
  <c r="H61" i="9"/>
  <c r="I61" i="9" s="1"/>
  <c r="H49" i="9"/>
  <c r="I49" i="9" s="1"/>
  <c r="H41" i="9"/>
  <c r="I41" i="9" s="1"/>
  <c r="H33" i="9"/>
  <c r="I33" i="9" s="1"/>
  <c r="H93" i="9"/>
  <c r="I93" i="9" s="1"/>
  <c r="H83" i="9"/>
  <c r="I83" i="9" s="1"/>
  <c r="H67" i="9"/>
  <c r="I67" i="9" s="1"/>
  <c r="H45" i="9"/>
  <c r="I45" i="9" s="1"/>
  <c r="H37" i="9"/>
  <c r="I37" i="9" s="1"/>
  <c r="H29" i="9"/>
  <c r="I29" i="9" s="1"/>
  <c r="H95" i="9"/>
  <c r="I95" i="9" s="1"/>
  <c r="H87" i="9"/>
  <c r="I87" i="9" s="1"/>
  <c r="H71" i="9"/>
  <c r="I71" i="9" s="1"/>
  <c r="H59" i="9"/>
  <c r="I59" i="9" s="1"/>
  <c r="H47" i="9"/>
  <c r="I47" i="9" s="1"/>
  <c r="H39" i="9"/>
  <c r="I39" i="9" s="1"/>
  <c r="H31" i="9"/>
  <c r="I31" i="9" s="1"/>
  <c r="H19" i="9"/>
  <c r="I19" i="9" s="1"/>
  <c r="H91" i="9"/>
  <c r="I91" i="9" s="1"/>
  <c r="H81" i="9"/>
  <c r="I81" i="9" s="1"/>
  <c r="H63" i="9"/>
  <c r="I63" i="9" s="1"/>
  <c r="H51" i="9"/>
  <c r="I51" i="9" s="1"/>
  <c r="H43" i="9"/>
  <c r="I43" i="9" s="1"/>
  <c r="H35" i="9"/>
  <c r="I35" i="9" s="1"/>
  <c r="H27" i="9"/>
  <c r="I27" i="9" s="1"/>
  <c r="H25" i="9"/>
  <c r="I25" i="9" s="1"/>
  <c r="H21" i="9"/>
  <c r="I21" i="9" s="1"/>
  <c r="H92" i="9"/>
  <c r="I92" i="9" s="1"/>
  <c r="H82" i="9"/>
  <c r="I82" i="9" s="1"/>
  <c r="H66" i="9"/>
  <c r="I66" i="9" s="1"/>
  <c r="H52" i="9"/>
  <c r="I52" i="9" s="1"/>
  <c r="H44" i="9"/>
  <c r="I44" i="9" s="1"/>
  <c r="J45" i="9" s="1"/>
  <c r="H36" i="9"/>
  <c r="I36" i="9" s="1"/>
  <c r="H28" i="9"/>
  <c r="I28" i="9" s="1"/>
  <c r="H98" i="9"/>
  <c r="I98" i="9" s="1"/>
  <c r="H88" i="9"/>
  <c r="I88" i="9" s="1"/>
  <c r="H78" i="9"/>
  <c r="I78" i="9" s="1"/>
  <c r="H60" i="9"/>
  <c r="I60" i="9" s="1"/>
  <c r="H48" i="9"/>
  <c r="I48" i="9" s="1"/>
  <c r="H40" i="9"/>
  <c r="I40" i="9" s="1"/>
  <c r="H32" i="9"/>
  <c r="I32" i="9" s="1"/>
  <c r="H24" i="9"/>
  <c r="I24" i="9" s="1"/>
  <c r="H94" i="9"/>
  <c r="I94" i="9" s="1"/>
  <c r="J95" i="9" s="1"/>
  <c r="M95" i="9" s="1"/>
  <c r="H86" i="9"/>
  <c r="I86" i="9" s="1"/>
  <c r="H70" i="9"/>
  <c r="I70" i="9" s="1"/>
  <c r="J71" i="9" s="1"/>
  <c r="H18" i="9"/>
  <c r="I18" i="9" s="1"/>
  <c r="H90" i="9"/>
  <c r="I90" i="9" s="1"/>
  <c r="H80" i="9"/>
  <c r="I80" i="9" s="1"/>
  <c r="H62" i="9"/>
  <c r="I62" i="9" s="1"/>
  <c r="J63" i="9" s="1"/>
  <c r="H26" i="9"/>
  <c r="I26" i="9" s="1"/>
  <c r="H20" i="9"/>
  <c r="I20" i="9" s="1"/>
  <c r="J21" i="9" s="1"/>
  <c r="H58" i="9"/>
  <c r="I58" i="9" s="1"/>
  <c r="H50" i="9"/>
  <c r="I50" i="9" s="1"/>
  <c r="H46" i="9"/>
  <c r="I46" i="9" s="1"/>
  <c r="H42" i="9"/>
  <c r="I42" i="9" s="1"/>
  <c r="J43" i="9" s="1"/>
  <c r="H38" i="9"/>
  <c r="I38" i="9" s="1"/>
  <c r="J39" i="9" s="1"/>
  <c r="H34" i="9"/>
  <c r="I34" i="9" s="1"/>
  <c r="H30" i="9"/>
  <c r="I30" i="9" s="1"/>
  <c r="H163" i="9"/>
  <c r="I163" i="9" s="1"/>
  <c r="H155" i="9"/>
  <c r="I155" i="9" s="1"/>
  <c r="H143" i="9"/>
  <c r="I143" i="9" s="1"/>
  <c r="H135" i="9"/>
  <c r="I135" i="9" s="1"/>
  <c r="H127" i="9"/>
  <c r="I127" i="9" s="1"/>
  <c r="H165" i="9"/>
  <c r="I165" i="9" s="1"/>
  <c r="H157" i="9"/>
  <c r="I157" i="9" s="1"/>
  <c r="H145" i="9"/>
  <c r="I145" i="9" s="1"/>
  <c r="H137" i="9"/>
  <c r="I137" i="9" s="1"/>
  <c r="H129" i="9"/>
  <c r="I129" i="9" s="1"/>
  <c r="H121" i="9"/>
  <c r="I121" i="9" s="1"/>
  <c r="H109" i="9"/>
  <c r="I109" i="9" s="1"/>
  <c r="H101" i="9"/>
  <c r="I101" i="9" s="1"/>
  <c r="H107" i="9"/>
  <c r="I107" i="9" s="1"/>
  <c r="H161" i="9"/>
  <c r="I161" i="9" s="1"/>
  <c r="H147" i="9"/>
  <c r="I147" i="9" s="1"/>
  <c r="H105" i="9"/>
  <c r="I105" i="9" s="1"/>
  <c r="H159" i="9"/>
  <c r="I159" i="9" s="1"/>
  <c r="H149" i="9"/>
  <c r="I149" i="9" s="1"/>
  <c r="H131" i="9"/>
  <c r="I131" i="9" s="1"/>
  <c r="H115" i="9"/>
  <c r="I115" i="9" s="1"/>
  <c r="H141" i="9"/>
  <c r="I141" i="9" s="1"/>
  <c r="H139" i="9"/>
  <c r="I139" i="9" s="1"/>
  <c r="H125" i="9"/>
  <c r="I125" i="9" s="1"/>
  <c r="H123" i="9"/>
  <c r="I123" i="9" s="1"/>
  <c r="H133" i="9"/>
  <c r="I133" i="9" s="1"/>
  <c r="H111" i="9"/>
  <c r="I111" i="9" s="1"/>
  <c r="H158" i="9"/>
  <c r="I158" i="9" s="1"/>
  <c r="H146" i="9"/>
  <c r="I146" i="9" s="1"/>
  <c r="H138" i="9"/>
  <c r="I138" i="9" s="1"/>
  <c r="H130" i="9"/>
  <c r="I130" i="9" s="1"/>
  <c r="H122" i="9"/>
  <c r="I122" i="9" s="1"/>
  <c r="H110" i="9"/>
  <c r="I110" i="9" s="1"/>
  <c r="H160" i="9"/>
  <c r="I160" i="9" s="1"/>
  <c r="H148" i="9"/>
  <c r="I148" i="9" s="1"/>
  <c r="H140" i="9"/>
  <c r="I140" i="9" s="1"/>
  <c r="H132" i="9"/>
  <c r="I132" i="9" s="1"/>
  <c r="H124" i="9"/>
  <c r="I124" i="9" s="1"/>
  <c r="H114" i="9"/>
  <c r="I114" i="9" s="1"/>
  <c r="H162" i="9"/>
  <c r="I162" i="9" s="1"/>
  <c r="H154" i="9"/>
  <c r="I154" i="9" s="1"/>
  <c r="H142" i="9"/>
  <c r="I142" i="9" s="1"/>
  <c r="H134" i="9"/>
  <c r="I134" i="9" s="1"/>
  <c r="H126" i="9"/>
  <c r="I126" i="9" s="1"/>
  <c r="H106" i="9"/>
  <c r="I106" i="9" s="1"/>
  <c r="H144" i="9"/>
  <c r="I144" i="9" s="1"/>
  <c r="H100" i="9"/>
  <c r="I100" i="9" s="1"/>
  <c r="H164" i="9"/>
  <c r="I164" i="9" s="1"/>
  <c r="I156" i="9"/>
  <c r="H128" i="9"/>
  <c r="I128" i="9" s="1"/>
  <c r="H108" i="9"/>
  <c r="I108" i="9" s="1"/>
  <c r="H136" i="9"/>
  <c r="I136" i="9" s="1"/>
  <c r="H120" i="9"/>
  <c r="I120" i="9" s="1"/>
  <c r="H104" i="9"/>
  <c r="I104" i="9" s="1"/>
  <c r="H251" i="9"/>
  <c r="I251" i="9" s="1"/>
  <c r="H239" i="9"/>
  <c r="I239" i="9" s="1"/>
  <c r="H217" i="9"/>
  <c r="I217" i="9" s="1"/>
  <c r="H209" i="9"/>
  <c r="I209" i="9" s="1"/>
  <c r="H201" i="9"/>
  <c r="I201" i="9" s="1"/>
  <c r="H193" i="9"/>
  <c r="I193" i="9" s="1"/>
  <c r="H245" i="9"/>
  <c r="I245" i="9" s="1"/>
  <c r="H235" i="9"/>
  <c r="I235" i="9" s="1"/>
  <c r="H223" i="9"/>
  <c r="I223" i="9" s="1"/>
  <c r="H213" i="9"/>
  <c r="I213" i="9" s="1"/>
  <c r="H205" i="9"/>
  <c r="I205" i="9" s="1"/>
  <c r="H197" i="9"/>
  <c r="I197" i="9" s="1"/>
  <c r="H189" i="9"/>
  <c r="I189" i="9" s="1"/>
  <c r="H249" i="9"/>
  <c r="I249" i="9" s="1"/>
  <c r="H237" i="9"/>
  <c r="I237" i="9" s="1"/>
  <c r="H225" i="9"/>
  <c r="I225" i="9" s="1"/>
  <c r="H215" i="9"/>
  <c r="I215" i="9" s="1"/>
  <c r="H207" i="9"/>
  <c r="I207" i="9" s="1"/>
  <c r="H199" i="9"/>
  <c r="I199" i="9" s="1"/>
  <c r="H191" i="9"/>
  <c r="I191" i="9" s="1"/>
  <c r="H241" i="9"/>
  <c r="I241" i="9" s="1"/>
  <c r="H233" i="9"/>
  <c r="I233" i="9" s="1"/>
  <c r="H219" i="9"/>
  <c r="I219" i="9" s="1"/>
  <c r="H211" i="9"/>
  <c r="I211" i="9" s="1"/>
  <c r="H203" i="9"/>
  <c r="I203" i="9" s="1"/>
  <c r="H195" i="9"/>
  <c r="I195" i="9" s="1"/>
  <c r="H187" i="9"/>
  <c r="I187" i="9" s="1"/>
  <c r="H183" i="9"/>
  <c r="I183" i="9" s="1"/>
  <c r="H181" i="9"/>
  <c r="I181" i="9" s="1"/>
  <c r="H244" i="9"/>
  <c r="I244" i="9" s="1"/>
  <c r="H234" i="9"/>
  <c r="I234" i="9" s="1"/>
  <c r="H222" i="9"/>
  <c r="I222" i="9" s="1"/>
  <c r="H212" i="9"/>
  <c r="I212" i="9" s="1"/>
  <c r="H204" i="9"/>
  <c r="I204" i="9" s="1"/>
  <c r="H196" i="9"/>
  <c r="I196" i="9" s="1"/>
  <c r="H188" i="9"/>
  <c r="I188" i="9" s="1"/>
  <c r="H250" i="9"/>
  <c r="I250" i="9" s="1"/>
  <c r="H238" i="9"/>
  <c r="I238" i="9" s="1"/>
  <c r="H216" i="9"/>
  <c r="I216" i="9" s="1"/>
  <c r="H208" i="9"/>
  <c r="I208" i="9" s="1"/>
  <c r="H200" i="9"/>
  <c r="I200" i="9" s="1"/>
  <c r="H192" i="9"/>
  <c r="I192" i="9" s="1"/>
  <c r="H182" i="9"/>
  <c r="I182" i="9" s="1"/>
  <c r="H248" i="9"/>
  <c r="I248" i="9" s="1"/>
  <c r="H236" i="9"/>
  <c r="I236" i="9" s="1"/>
  <c r="H224" i="9"/>
  <c r="I224" i="9" s="1"/>
  <c r="H240" i="9"/>
  <c r="I240" i="9" s="1"/>
  <c r="H232" i="9"/>
  <c r="I232" i="9" s="1"/>
  <c r="H218" i="9"/>
  <c r="I218" i="9" s="1"/>
  <c r="H210" i="9"/>
  <c r="I210" i="9" s="1"/>
  <c r="H206" i="9"/>
  <c r="I206" i="9" s="1"/>
  <c r="H202" i="9"/>
  <c r="I202" i="9" s="1"/>
  <c r="H198" i="9"/>
  <c r="I198" i="9" s="1"/>
  <c r="H194" i="9"/>
  <c r="I194" i="9" s="1"/>
  <c r="H190" i="9"/>
  <c r="I190" i="9" s="1"/>
  <c r="H186" i="9"/>
  <c r="I186" i="9" s="1"/>
  <c r="H214" i="9"/>
  <c r="I214" i="9" s="1"/>
  <c r="H180" i="9"/>
  <c r="I180" i="9" s="1"/>
  <c r="H305" i="9"/>
  <c r="I305" i="9" s="1"/>
  <c r="H297" i="9"/>
  <c r="I297" i="9" s="1"/>
  <c r="H287" i="9"/>
  <c r="I287" i="9" s="1"/>
  <c r="H273" i="9"/>
  <c r="I273" i="9" s="1"/>
  <c r="H265" i="9"/>
  <c r="I265" i="9" s="1"/>
  <c r="H311" i="9"/>
  <c r="I311" i="9" s="1"/>
  <c r="H307" i="9"/>
  <c r="I307" i="9" s="1"/>
  <c r="H301" i="9"/>
  <c r="I301" i="9" s="1"/>
  <c r="H299" i="9"/>
  <c r="I299" i="9" s="1"/>
  <c r="H291" i="9"/>
  <c r="I291" i="9" s="1"/>
  <c r="H289" i="9"/>
  <c r="I289" i="9" s="1"/>
  <c r="H281" i="9"/>
  <c r="I281" i="9" s="1"/>
  <c r="H279" i="9"/>
  <c r="I279" i="9" s="1"/>
  <c r="H277" i="9"/>
  <c r="I277" i="9" s="1"/>
  <c r="H275" i="9"/>
  <c r="I275" i="9" s="1"/>
  <c r="H269" i="9"/>
  <c r="I269" i="9" s="1"/>
  <c r="H267" i="9"/>
  <c r="I267" i="9" s="1"/>
  <c r="H261" i="9"/>
  <c r="I261" i="9" s="1"/>
  <c r="H303" i="9"/>
  <c r="I303" i="9" s="1"/>
  <c r="H271" i="9"/>
  <c r="I271" i="9" s="1"/>
  <c r="H257" i="9"/>
  <c r="I257" i="9" s="1"/>
  <c r="H293" i="9"/>
  <c r="I293" i="9" s="1"/>
  <c r="H263" i="9"/>
  <c r="I263" i="9" s="1"/>
  <c r="H259" i="9"/>
  <c r="I259" i="9" s="1"/>
  <c r="H283" i="9"/>
  <c r="I283" i="9" s="1"/>
  <c r="H313" i="9"/>
  <c r="I313" i="9" s="1"/>
  <c r="H255" i="9"/>
  <c r="I255" i="9" s="1"/>
  <c r="H253" i="9"/>
  <c r="I253" i="9" s="1"/>
  <c r="H310" i="9"/>
  <c r="I310" i="9" s="1"/>
  <c r="H300" i="9"/>
  <c r="I300" i="9" s="1"/>
  <c r="H290" i="9"/>
  <c r="I290" i="9" s="1"/>
  <c r="H280" i="9"/>
  <c r="I280" i="9" s="1"/>
  <c r="H276" i="9"/>
  <c r="I276" i="9" s="1"/>
  <c r="H268" i="9"/>
  <c r="I268" i="9" s="1"/>
  <c r="H260" i="9"/>
  <c r="I260" i="9" s="1"/>
  <c r="H304" i="9"/>
  <c r="I304" i="9" s="1"/>
  <c r="H296" i="9"/>
  <c r="I296" i="9" s="1"/>
  <c r="H286" i="9"/>
  <c r="I286" i="9" s="1"/>
  <c r="H272" i="9"/>
  <c r="I272" i="9" s="1"/>
  <c r="H264" i="9"/>
  <c r="I264" i="9" s="1"/>
  <c r="H254" i="9"/>
  <c r="I254" i="9" s="1"/>
  <c r="H312" i="9"/>
  <c r="I312" i="9" s="1"/>
  <c r="H306" i="9"/>
  <c r="I306" i="9" s="1"/>
  <c r="H274" i="9"/>
  <c r="I274" i="9" s="1"/>
  <c r="H302" i="9"/>
  <c r="I302" i="9" s="1"/>
  <c r="H298" i="9"/>
  <c r="I298" i="9" s="1"/>
  <c r="H270" i="9"/>
  <c r="I270" i="9" s="1"/>
  <c r="H266" i="9"/>
  <c r="I266" i="9" s="1"/>
  <c r="H256" i="9"/>
  <c r="I256" i="9" s="1"/>
  <c r="H252" i="9"/>
  <c r="I252" i="9" s="1"/>
  <c r="H292" i="9"/>
  <c r="I292" i="9" s="1"/>
  <c r="H288" i="9"/>
  <c r="I288" i="9" s="1"/>
  <c r="H262" i="9"/>
  <c r="I262" i="9" s="1"/>
  <c r="H282" i="9"/>
  <c r="I282" i="9" s="1"/>
  <c r="H278" i="9"/>
  <c r="I278" i="9" s="1"/>
  <c r="H258" i="9"/>
  <c r="I258" i="9" s="1"/>
  <c r="C7" i="12"/>
  <c r="C7" i="11"/>
  <c r="C131" i="11" s="1"/>
  <c r="B1" i="12"/>
  <c r="B64" i="12" s="1"/>
  <c r="B1" i="11"/>
  <c r="B125" i="11" s="1"/>
  <c r="A12" i="10"/>
  <c r="A12" i="9"/>
  <c r="F170" i="12"/>
  <c r="F109" i="12"/>
  <c r="C70" i="12"/>
  <c r="F170" i="11"/>
  <c r="F109" i="11"/>
  <c r="F46" i="11" s="1"/>
  <c r="P6" i="10"/>
  <c r="M6" i="10" s="1"/>
  <c r="I4" i="10"/>
  <c r="I327" i="9"/>
  <c r="J327" i="9" s="1"/>
  <c r="N327" i="9" s="1"/>
  <c r="U327" i="9" s="1"/>
  <c r="V327" i="9" s="1"/>
  <c r="I326" i="9"/>
  <c r="J326" i="9" s="1"/>
  <c r="N326" i="9" s="1"/>
  <c r="U326" i="9" s="1"/>
  <c r="V326" i="9" s="1"/>
  <c r="I325" i="9"/>
  <c r="J325" i="9" s="1"/>
  <c r="N325" i="9" s="1"/>
  <c r="U325" i="9" s="1"/>
  <c r="V325" i="9" s="1"/>
  <c r="I323" i="9"/>
  <c r="J323" i="9" s="1"/>
  <c r="I322" i="9"/>
  <c r="J322" i="9" s="1"/>
  <c r="J328" i="9" s="1"/>
  <c r="I318" i="9"/>
  <c r="J318" i="9" s="1"/>
  <c r="I317" i="9"/>
  <c r="J317" i="9" s="1"/>
  <c r="J320" i="9" s="1"/>
  <c r="F315" i="9"/>
  <c r="E315" i="9" s="1"/>
  <c r="S17" i="9"/>
  <c r="R17" i="9"/>
  <c r="M17" i="9"/>
  <c r="E10" i="10"/>
  <c r="E9" i="10"/>
  <c r="E8" i="10"/>
  <c r="M7" i="10"/>
  <c r="L7" i="10"/>
  <c r="E7" i="10"/>
  <c r="O6" i="10"/>
  <c r="L6" i="10" s="1"/>
  <c r="M6" i="9"/>
  <c r="I6" i="10"/>
  <c r="E6" i="10"/>
  <c r="P5" i="10"/>
  <c r="M5" i="10" s="1"/>
  <c r="O5" i="10"/>
  <c r="L5" i="10" s="1"/>
  <c r="L5" i="9"/>
  <c r="R309" i="9" s="1"/>
  <c r="I5" i="10"/>
  <c r="E5" i="10"/>
  <c r="P4" i="10"/>
  <c r="M4" i="10" s="1"/>
  <c r="O4" i="10"/>
  <c r="L4" i="10" s="1"/>
  <c r="M4" i="9"/>
  <c r="E4" i="10"/>
  <c r="P3" i="10"/>
  <c r="M3" i="10" s="1"/>
  <c r="O3" i="10"/>
  <c r="L3" i="10" s="1"/>
  <c r="L3" i="9"/>
  <c r="I3" i="10"/>
  <c r="M28" i="10" s="1"/>
  <c r="E3" i="10"/>
  <c r="E2" i="10"/>
  <c r="L28" i="10" s="1"/>
  <c r="P28" i="10" l="1"/>
  <c r="P19" i="10"/>
  <c r="P25" i="10"/>
  <c r="P23" i="10"/>
  <c r="P17" i="10"/>
  <c r="P21" i="10"/>
  <c r="O28" i="10"/>
  <c r="U28" i="10" s="1"/>
  <c r="O19" i="10"/>
  <c r="O25" i="10"/>
  <c r="O23" i="10"/>
  <c r="O17" i="10"/>
  <c r="O21" i="10"/>
  <c r="L25" i="10"/>
  <c r="L23" i="10"/>
  <c r="L19" i="10"/>
  <c r="L21" i="10"/>
  <c r="L17" i="10"/>
  <c r="N28" i="10"/>
  <c r="N19" i="10"/>
  <c r="N25" i="10"/>
  <c r="N23" i="10"/>
  <c r="N17" i="10"/>
  <c r="N21" i="10"/>
  <c r="J221" i="9"/>
  <c r="L221" i="9" s="1"/>
  <c r="J309" i="9"/>
  <c r="P309" i="9" s="1"/>
  <c r="J283" i="9"/>
  <c r="M283" i="9" s="1"/>
  <c r="C70" i="11"/>
  <c r="J253" i="9"/>
  <c r="M253" i="9" s="1"/>
  <c r="M29" i="10"/>
  <c r="S29" i="10"/>
  <c r="R29" i="10"/>
  <c r="N309" i="9"/>
  <c r="J247" i="9"/>
  <c r="N247" i="9" s="1"/>
  <c r="J295" i="9"/>
  <c r="P295" i="9" s="1"/>
  <c r="R285" i="9"/>
  <c r="R295" i="9"/>
  <c r="J285" i="9"/>
  <c r="M285" i="9" s="1"/>
  <c r="J243" i="9"/>
  <c r="L243" i="9" s="1"/>
  <c r="J231" i="9"/>
  <c r="L231" i="9" s="1"/>
  <c r="R221" i="9"/>
  <c r="J241" i="9"/>
  <c r="M241" i="9" s="1"/>
  <c r="J227" i="9"/>
  <c r="J249" i="9"/>
  <c r="M249" i="9" s="1"/>
  <c r="J223" i="9"/>
  <c r="M223" i="9" s="1"/>
  <c r="J229" i="9"/>
  <c r="S227" i="9"/>
  <c r="J207" i="9"/>
  <c r="M207" i="9" s="1"/>
  <c r="J213" i="9"/>
  <c r="M213" i="9" s="1"/>
  <c r="J167" i="9"/>
  <c r="L167" i="9" s="1"/>
  <c r="J141" i="9"/>
  <c r="M141" i="9" s="1"/>
  <c r="J123" i="9"/>
  <c r="M123" i="9" s="1"/>
  <c r="J185" i="9"/>
  <c r="M185" i="9" s="1"/>
  <c r="J219" i="9"/>
  <c r="M219" i="9" s="1"/>
  <c r="J237" i="9"/>
  <c r="M237" i="9" s="1"/>
  <c r="J205" i="9"/>
  <c r="M205" i="9" s="1"/>
  <c r="J245" i="9"/>
  <c r="M245" i="9" s="1"/>
  <c r="J153" i="9"/>
  <c r="N153" i="9" s="1"/>
  <c r="J211" i="9"/>
  <c r="M211" i="9" s="1"/>
  <c r="J225" i="9"/>
  <c r="M225" i="9" s="1"/>
  <c r="N177" i="9"/>
  <c r="M177" i="9"/>
  <c r="P177" i="9"/>
  <c r="O177" i="9"/>
  <c r="J235" i="9"/>
  <c r="M235" i="9" s="1"/>
  <c r="R179" i="9"/>
  <c r="R177" i="9"/>
  <c r="N179" i="9"/>
  <c r="O179" i="9"/>
  <c r="M179" i="9"/>
  <c r="P179" i="9"/>
  <c r="L179" i="9"/>
  <c r="L177" i="9"/>
  <c r="P171" i="9"/>
  <c r="O171" i="9"/>
  <c r="M171" i="9"/>
  <c r="N171" i="9"/>
  <c r="O169" i="9"/>
  <c r="P169" i="9"/>
  <c r="N169" i="9"/>
  <c r="M169" i="9"/>
  <c r="P173" i="9"/>
  <c r="O173" i="9"/>
  <c r="N173" i="9"/>
  <c r="M173" i="9"/>
  <c r="R169" i="9"/>
  <c r="R175" i="9"/>
  <c r="R171" i="9"/>
  <c r="R173" i="9"/>
  <c r="P175" i="9"/>
  <c r="M175" i="9"/>
  <c r="N175" i="9"/>
  <c r="O175" i="9"/>
  <c r="L173" i="9"/>
  <c r="J151" i="9"/>
  <c r="M151" i="9" s="1"/>
  <c r="R167" i="9"/>
  <c r="J113" i="9"/>
  <c r="N113" i="9" s="1"/>
  <c r="J119" i="9"/>
  <c r="J103" i="9"/>
  <c r="L103" i="9" s="1"/>
  <c r="J117" i="9"/>
  <c r="N117" i="9" s="1"/>
  <c r="J97" i="9"/>
  <c r="L97" i="9" s="1"/>
  <c r="J101" i="9"/>
  <c r="M101" i="9" s="1"/>
  <c r="J165" i="9"/>
  <c r="M165" i="9" s="1"/>
  <c r="J85" i="9"/>
  <c r="P85" i="9" s="1"/>
  <c r="J73" i="9"/>
  <c r="N73" i="9" s="1"/>
  <c r="J77" i="9"/>
  <c r="L77" i="9" s="1"/>
  <c r="J299" i="9"/>
  <c r="M299" i="9" s="1"/>
  <c r="J289" i="9"/>
  <c r="M289" i="9" s="1"/>
  <c r="J277" i="9"/>
  <c r="M277" i="9" s="1"/>
  <c r="J275" i="9"/>
  <c r="M275" i="9" s="1"/>
  <c r="J233" i="9"/>
  <c r="M233" i="9" s="1"/>
  <c r="J189" i="9"/>
  <c r="M189" i="9" s="1"/>
  <c r="J197" i="9"/>
  <c r="M197" i="9" s="1"/>
  <c r="J183" i="9"/>
  <c r="M183" i="9" s="1"/>
  <c r="J157" i="9"/>
  <c r="M157" i="9" s="1"/>
  <c r="J81" i="9"/>
  <c r="M81" i="9" s="1"/>
  <c r="J145" i="9"/>
  <c r="M145" i="9" s="1"/>
  <c r="J139" i="9"/>
  <c r="M139" i="9" s="1"/>
  <c r="J131" i="9"/>
  <c r="M131" i="9" s="1"/>
  <c r="J125" i="9"/>
  <c r="M125" i="9" s="1"/>
  <c r="J121" i="9"/>
  <c r="M121" i="9" s="1"/>
  <c r="J115" i="9"/>
  <c r="M115" i="9" s="1"/>
  <c r="J91" i="9"/>
  <c r="M91" i="9" s="1"/>
  <c r="J87" i="9"/>
  <c r="M87" i="9" s="1"/>
  <c r="J57" i="9"/>
  <c r="L57" i="9" s="1"/>
  <c r="J23" i="9"/>
  <c r="L23" i="9" s="1"/>
  <c r="J69" i="9"/>
  <c r="P69" i="9" s="1"/>
  <c r="J75" i="9"/>
  <c r="J65" i="9"/>
  <c r="J67" i="9"/>
  <c r="N67" i="9" s="1"/>
  <c r="J55" i="9"/>
  <c r="P55" i="9" s="1"/>
  <c r="J53" i="9"/>
  <c r="L53" i="9" s="1"/>
  <c r="J137" i="9"/>
  <c r="M137" i="9" s="1"/>
  <c r="J155" i="9"/>
  <c r="M155" i="9" s="1"/>
  <c r="J93" i="9"/>
  <c r="M93" i="9" s="1"/>
  <c r="J203" i="9"/>
  <c r="M203" i="9" s="1"/>
  <c r="J135" i="9"/>
  <c r="M135" i="9" s="1"/>
  <c r="J89" i="9"/>
  <c r="M89" i="9" s="1"/>
  <c r="J99" i="9"/>
  <c r="M99" i="9" s="1"/>
  <c r="J83" i="9"/>
  <c r="M83" i="9" s="1"/>
  <c r="J59" i="9"/>
  <c r="O59" i="9" s="1"/>
  <c r="J49" i="9"/>
  <c r="L49" i="9" s="1"/>
  <c r="J41" i="9"/>
  <c r="O41" i="9" s="1"/>
  <c r="J37" i="9"/>
  <c r="L37" i="9" s="1"/>
  <c r="J31" i="9"/>
  <c r="L31" i="9" s="1"/>
  <c r="J29" i="9"/>
  <c r="O29" i="9" s="1"/>
  <c r="J27" i="9"/>
  <c r="O27" i="9" s="1"/>
  <c r="J25" i="9"/>
  <c r="O25" i="9" s="1"/>
  <c r="J19" i="9"/>
  <c r="L19" i="9" s="1"/>
  <c r="B64" i="11"/>
  <c r="R299" i="9"/>
  <c r="R275" i="9"/>
  <c r="R79" i="9"/>
  <c r="R165" i="9"/>
  <c r="R209" i="9"/>
  <c r="R241" i="9"/>
  <c r="R263" i="9"/>
  <c r="R235" i="9"/>
  <c r="R301" i="9"/>
  <c r="R273" i="9"/>
  <c r="R291" i="9"/>
  <c r="R193" i="9"/>
  <c r="S217" i="9"/>
  <c r="S277" i="9"/>
  <c r="S269" i="9"/>
  <c r="S211" i="9"/>
  <c r="S305" i="9"/>
  <c r="S265" i="9"/>
  <c r="S237" i="9"/>
  <c r="S225" i="9"/>
  <c r="S307" i="9"/>
  <c r="S289" i="9"/>
  <c r="S303" i="9"/>
  <c r="S293" i="9"/>
  <c r="J257" i="9"/>
  <c r="M257" i="9" s="1"/>
  <c r="R215" i="9"/>
  <c r="R207" i="9"/>
  <c r="R279" i="9"/>
  <c r="R239" i="9"/>
  <c r="R219" i="9"/>
  <c r="R313" i="9"/>
  <c r="R271" i="9"/>
  <c r="R245" i="9"/>
  <c r="R223" i="9"/>
  <c r="R287" i="9"/>
  <c r="R311" i="9"/>
  <c r="R297" i="9"/>
  <c r="R281" i="9"/>
  <c r="J259" i="9"/>
  <c r="M259" i="9" s="1"/>
  <c r="J255" i="9"/>
  <c r="M255" i="9" s="1"/>
  <c r="J51" i="9"/>
  <c r="P51" i="9" s="1"/>
  <c r="N21" i="9"/>
  <c r="P21" i="9"/>
  <c r="L21" i="9"/>
  <c r="O21" i="9"/>
  <c r="P95" i="9"/>
  <c r="L95" i="9"/>
  <c r="N95" i="9"/>
  <c r="O95" i="9"/>
  <c r="J161" i="9"/>
  <c r="M161" i="9" s="1"/>
  <c r="J47" i="9"/>
  <c r="J61" i="9"/>
  <c r="P39" i="9"/>
  <c r="L39" i="9"/>
  <c r="N39" i="9"/>
  <c r="O39" i="9"/>
  <c r="O45" i="9"/>
  <c r="L45" i="9"/>
  <c r="N45" i="9"/>
  <c r="P45" i="9"/>
  <c r="N43" i="9"/>
  <c r="P43" i="9"/>
  <c r="L43" i="9"/>
  <c r="O43" i="9"/>
  <c r="J109" i="9"/>
  <c r="M109" i="9" s="1"/>
  <c r="J127" i="9"/>
  <c r="P127" i="9" s="1"/>
  <c r="J163" i="9"/>
  <c r="N163" i="9" s="1"/>
  <c r="J133" i="9"/>
  <c r="J35" i="9"/>
  <c r="N63" i="9"/>
  <c r="P63" i="9"/>
  <c r="L63" i="9"/>
  <c r="O63" i="9"/>
  <c r="P71" i="9"/>
  <c r="L71" i="9"/>
  <c r="N71" i="9"/>
  <c r="O71" i="9"/>
  <c r="J33" i="9"/>
  <c r="J79" i="9"/>
  <c r="M79" i="9" s="1"/>
  <c r="J311" i="9"/>
  <c r="M311" i="9" s="1"/>
  <c r="J267" i="9"/>
  <c r="L267" i="9" s="1"/>
  <c r="J287" i="9"/>
  <c r="J261" i="9"/>
  <c r="J291" i="9"/>
  <c r="M291" i="9" s="1"/>
  <c r="J187" i="9"/>
  <c r="P187" i="9" s="1"/>
  <c r="J201" i="9"/>
  <c r="J239" i="9"/>
  <c r="J105" i="9"/>
  <c r="M105" i="9" s="1"/>
  <c r="J129" i="9"/>
  <c r="M129" i="9" s="1"/>
  <c r="J111" i="9"/>
  <c r="M111" i="9" s="1"/>
  <c r="J147" i="9"/>
  <c r="M147" i="9" s="1"/>
  <c r="J279" i="9"/>
  <c r="M279" i="9" s="1"/>
  <c r="J265" i="9"/>
  <c r="O265" i="9" s="1"/>
  <c r="J297" i="9"/>
  <c r="N297" i="9" s="1"/>
  <c r="J191" i="9"/>
  <c r="J209" i="9"/>
  <c r="M209" i="9" s="1"/>
  <c r="J251" i="9"/>
  <c r="P251" i="9" s="1"/>
  <c r="J107" i="9"/>
  <c r="M107" i="9" s="1"/>
  <c r="J143" i="9"/>
  <c r="M143" i="9" s="1"/>
  <c r="J149" i="9"/>
  <c r="M149" i="9" s="1"/>
  <c r="J159" i="9"/>
  <c r="M159" i="9" s="1"/>
  <c r="J307" i="9"/>
  <c r="L307" i="9" s="1"/>
  <c r="J273" i="9"/>
  <c r="J305" i="9"/>
  <c r="P305" i="9" s="1"/>
  <c r="J181" i="9"/>
  <c r="M181" i="9" s="1"/>
  <c r="J195" i="9"/>
  <c r="M195" i="9" s="1"/>
  <c r="J217" i="9"/>
  <c r="M217" i="9" s="1"/>
  <c r="J263" i="9"/>
  <c r="J303" i="9"/>
  <c r="J215" i="9"/>
  <c r="M215" i="9" s="1"/>
  <c r="J199" i="9"/>
  <c r="M199" i="9" s="1"/>
  <c r="J193" i="9"/>
  <c r="M193" i="9" s="1"/>
  <c r="J313" i="9"/>
  <c r="M313" i="9" s="1"/>
  <c r="J281" i="9"/>
  <c r="M281" i="9" s="1"/>
  <c r="J293" i="9"/>
  <c r="M293" i="9" s="1"/>
  <c r="J271" i="9"/>
  <c r="M271" i="9" s="1"/>
  <c r="J269" i="9"/>
  <c r="M269" i="9" s="1"/>
  <c r="J301" i="9"/>
  <c r="M301" i="9" s="1"/>
  <c r="T17" i="9"/>
  <c r="B125" i="12"/>
  <c r="L4" i="9"/>
  <c r="R231" i="9" s="1"/>
  <c r="L6" i="9"/>
  <c r="H17" i="9"/>
  <c r="I17" i="9" s="1"/>
  <c r="M31" i="8"/>
  <c r="N317" i="9"/>
  <c r="M3" i="9"/>
  <c r="M5" i="9"/>
  <c r="S309" i="9" s="1"/>
  <c r="T309" i="9" s="1"/>
  <c r="H16" i="9"/>
  <c r="I16" i="9" s="1"/>
  <c r="N318" i="9"/>
  <c r="U318" i="9" s="1"/>
  <c r="V318" i="9" s="1"/>
  <c r="N323" i="9"/>
  <c r="U323" i="9" s="1"/>
  <c r="V323" i="9" s="1"/>
  <c r="C131" i="12"/>
  <c r="N322" i="9"/>
  <c r="F46" i="12"/>
  <c r="P253" i="9" l="1"/>
  <c r="M221" i="9"/>
  <c r="O221" i="9"/>
  <c r="N221" i="9"/>
  <c r="P221" i="9"/>
  <c r="U21" i="10"/>
  <c r="V21" i="10" s="1"/>
  <c r="U23" i="10"/>
  <c r="V23" i="10" s="1"/>
  <c r="U17" i="10"/>
  <c r="V17" i="10" s="1"/>
  <c r="U19" i="10"/>
  <c r="V19" i="10" s="1"/>
  <c r="U25" i="10"/>
  <c r="V25" i="10" s="1"/>
  <c r="N320" i="9"/>
  <c r="N328" i="9"/>
  <c r="N237" i="9"/>
  <c r="L309" i="9"/>
  <c r="O309" i="9"/>
  <c r="R187" i="9"/>
  <c r="P249" i="9"/>
  <c r="M309" i="9"/>
  <c r="P283" i="9"/>
  <c r="L185" i="9"/>
  <c r="N283" i="9"/>
  <c r="L283" i="9"/>
  <c r="P247" i="9"/>
  <c r="O283" i="9"/>
  <c r="O247" i="9"/>
  <c r="O295" i="9"/>
  <c r="N231" i="9"/>
  <c r="O253" i="9"/>
  <c r="R283" i="9"/>
  <c r="M295" i="9"/>
  <c r="N253" i="9"/>
  <c r="P167" i="9"/>
  <c r="N185" i="9"/>
  <c r="L295" i="9"/>
  <c r="L253" i="9"/>
  <c r="R267" i="9"/>
  <c r="V28" i="10"/>
  <c r="T29" i="10"/>
  <c r="S229" i="9"/>
  <c r="P243" i="9"/>
  <c r="M247" i="9"/>
  <c r="O285" i="9"/>
  <c r="S231" i="9"/>
  <c r="T231" i="9" s="1"/>
  <c r="R233" i="9"/>
  <c r="R77" i="9"/>
  <c r="L247" i="9"/>
  <c r="N295" i="9"/>
  <c r="S285" i="9"/>
  <c r="T285" i="9" s="1"/>
  <c r="S295" i="9"/>
  <c r="T295" i="9" s="1"/>
  <c r="L285" i="9"/>
  <c r="N285" i="9"/>
  <c r="O241" i="9"/>
  <c r="P285" i="9"/>
  <c r="O225" i="9"/>
  <c r="O237" i="9"/>
  <c r="L213" i="9"/>
  <c r="P205" i="9"/>
  <c r="P231" i="9"/>
  <c r="O231" i="9"/>
  <c r="L241" i="9"/>
  <c r="M231" i="9"/>
  <c r="M243" i="9"/>
  <c r="L123" i="9"/>
  <c r="N141" i="9"/>
  <c r="N243" i="9"/>
  <c r="O213" i="9"/>
  <c r="N207" i="9"/>
  <c r="P153" i="9"/>
  <c r="O243" i="9"/>
  <c r="S221" i="9"/>
  <c r="T221" i="9" s="1"/>
  <c r="L249" i="9"/>
  <c r="P223" i="9"/>
  <c r="N223" i="9"/>
  <c r="L245" i="9"/>
  <c r="O223" i="9"/>
  <c r="N213" i="9"/>
  <c r="N241" i="9"/>
  <c r="P207" i="9"/>
  <c r="O207" i="9"/>
  <c r="L219" i="9"/>
  <c r="L223" i="9"/>
  <c r="P213" i="9"/>
  <c r="P241" i="9"/>
  <c r="L207" i="9"/>
  <c r="P141" i="9"/>
  <c r="M227" i="9"/>
  <c r="P227" i="9"/>
  <c r="N227" i="9"/>
  <c r="O227" i="9"/>
  <c r="L227" i="9"/>
  <c r="O123" i="9"/>
  <c r="M153" i="9"/>
  <c r="N167" i="9"/>
  <c r="N249" i="9"/>
  <c r="P237" i="9"/>
  <c r="N123" i="9"/>
  <c r="O167" i="9"/>
  <c r="O185" i="9"/>
  <c r="R227" i="9"/>
  <c r="T227" i="9" s="1"/>
  <c r="R229" i="9"/>
  <c r="N229" i="9"/>
  <c r="P229" i="9"/>
  <c r="M229" i="9"/>
  <c r="O229" i="9"/>
  <c r="L229" i="9"/>
  <c r="P219" i="9"/>
  <c r="O249" i="9"/>
  <c r="L237" i="9"/>
  <c r="P123" i="9"/>
  <c r="M167" i="9"/>
  <c r="P185" i="9"/>
  <c r="P151" i="9"/>
  <c r="L205" i="9"/>
  <c r="L141" i="9"/>
  <c r="O205" i="9"/>
  <c r="N211" i="9"/>
  <c r="N205" i="9"/>
  <c r="O141" i="9"/>
  <c r="P235" i="9"/>
  <c r="N225" i="9"/>
  <c r="N219" i="9"/>
  <c r="O245" i="9"/>
  <c r="O153" i="9"/>
  <c r="P245" i="9"/>
  <c r="O219" i="9"/>
  <c r="N245" i="9"/>
  <c r="L153" i="9"/>
  <c r="L225" i="9"/>
  <c r="O211" i="9"/>
  <c r="N77" i="9"/>
  <c r="P211" i="9"/>
  <c r="O151" i="9"/>
  <c r="P225" i="9"/>
  <c r="L211" i="9"/>
  <c r="L151" i="9"/>
  <c r="S179" i="9"/>
  <c r="T179" i="9" s="1"/>
  <c r="U179" i="9" s="1"/>
  <c r="V179" i="9" s="1"/>
  <c r="S177" i="9"/>
  <c r="T177" i="9" s="1"/>
  <c r="U177" i="9" s="1"/>
  <c r="V177" i="9" s="1"/>
  <c r="N235" i="9"/>
  <c r="O235" i="9"/>
  <c r="L235" i="9"/>
  <c r="S175" i="9"/>
  <c r="T175" i="9" s="1"/>
  <c r="U175" i="9" s="1"/>
  <c r="V175" i="9" s="1"/>
  <c r="S171" i="9"/>
  <c r="T171" i="9" s="1"/>
  <c r="U171" i="9" s="1"/>
  <c r="V171" i="9" s="1"/>
  <c r="S173" i="9"/>
  <c r="T173" i="9" s="1"/>
  <c r="U173" i="9" s="1"/>
  <c r="V173" i="9" s="1"/>
  <c r="S169" i="9"/>
  <c r="T169" i="9" s="1"/>
  <c r="U169" i="9" s="1"/>
  <c r="V169" i="9" s="1"/>
  <c r="S77" i="9"/>
  <c r="S167" i="9"/>
  <c r="P103" i="9"/>
  <c r="N151" i="9"/>
  <c r="P121" i="9"/>
  <c r="T167" i="9"/>
  <c r="O97" i="9"/>
  <c r="M117" i="9"/>
  <c r="M113" i="9"/>
  <c r="N165" i="9"/>
  <c r="M97" i="9"/>
  <c r="O117" i="9"/>
  <c r="O113" i="9"/>
  <c r="P113" i="9"/>
  <c r="P97" i="9"/>
  <c r="L117" i="9"/>
  <c r="L113" i="9"/>
  <c r="P119" i="9"/>
  <c r="N119" i="9"/>
  <c r="O119" i="9"/>
  <c r="M119" i="9"/>
  <c r="L119" i="9"/>
  <c r="L145" i="9"/>
  <c r="L121" i="9"/>
  <c r="P101" i="9"/>
  <c r="M85" i="9"/>
  <c r="O145" i="9"/>
  <c r="N121" i="9"/>
  <c r="N145" i="9"/>
  <c r="N97" i="9"/>
  <c r="O103" i="9"/>
  <c r="P117" i="9"/>
  <c r="M103" i="9"/>
  <c r="O121" i="9"/>
  <c r="P145" i="9"/>
  <c r="M77" i="9"/>
  <c r="N103" i="9"/>
  <c r="L101" i="9"/>
  <c r="N101" i="9"/>
  <c r="N125" i="9"/>
  <c r="L91" i="9"/>
  <c r="N57" i="9"/>
  <c r="P77" i="9"/>
  <c r="L197" i="9"/>
  <c r="O101" i="9"/>
  <c r="O125" i="9"/>
  <c r="P87" i="9"/>
  <c r="L165" i="9"/>
  <c r="P165" i="9"/>
  <c r="O83" i="9"/>
  <c r="N85" i="9"/>
  <c r="O289" i="9"/>
  <c r="O165" i="9"/>
  <c r="P73" i="9"/>
  <c r="L157" i="9"/>
  <c r="P57" i="9"/>
  <c r="O77" i="9"/>
  <c r="O85" i="9"/>
  <c r="N299" i="9"/>
  <c r="L85" i="9"/>
  <c r="L289" i="9"/>
  <c r="O73" i="9"/>
  <c r="L131" i="9"/>
  <c r="O81" i="9"/>
  <c r="L73" i="9"/>
  <c r="P157" i="9"/>
  <c r="O197" i="9"/>
  <c r="L125" i="9"/>
  <c r="P91" i="9"/>
  <c r="L233" i="9"/>
  <c r="N157" i="9"/>
  <c r="P131" i="9"/>
  <c r="L299" i="9"/>
  <c r="L139" i="9"/>
  <c r="O157" i="9"/>
  <c r="P299" i="9"/>
  <c r="O299" i="9"/>
  <c r="N289" i="9"/>
  <c r="P289" i="9"/>
  <c r="L277" i="9"/>
  <c r="N277" i="9"/>
  <c r="O277" i="9"/>
  <c r="P277" i="9"/>
  <c r="P275" i="9"/>
  <c r="O275" i="9"/>
  <c r="L275" i="9"/>
  <c r="N275" i="9"/>
  <c r="P233" i="9"/>
  <c r="O233" i="9"/>
  <c r="N233" i="9"/>
  <c r="P189" i="9"/>
  <c r="L189" i="9"/>
  <c r="O189" i="9"/>
  <c r="N189" i="9"/>
  <c r="N197" i="9"/>
  <c r="P197" i="9"/>
  <c r="L183" i="9"/>
  <c r="P183" i="9"/>
  <c r="N183" i="9"/>
  <c r="O183" i="9"/>
  <c r="N81" i="9"/>
  <c r="P81" i="9"/>
  <c r="L81" i="9"/>
  <c r="P125" i="9"/>
  <c r="O139" i="9"/>
  <c r="N139" i="9"/>
  <c r="P139" i="9"/>
  <c r="O131" i="9"/>
  <c r="N131" i="9"/>
  <c r="L115" i="9"/>
  <c r="O115" i="9"/>
  <c r="N115" i="9"/>
  <c r="P115" i="9"/>
  <c r="O91" i="9"/>
  <c r="N91" i="9"/>
  <c r="L87" i="9"/>
  <c r="N87" i="9"/>
  <c r="O87" i="9"/>
  <c r="O57" i="9"/>
  <c r="N23" i="9"/>
  <c r="O23" i="9"/>
  <c r="P23" i="9"/>
  <c r="L259" i="9"/>
  <c r="O69" i="9"/>
  <c r="L69" i="9"/>
  <c r="N69" i="9"/>
  <c r="N75" i="9"/>
  <c r="O75" i="9"/>
  <c r="P75" i="9"/>
  <c r="L75" i="9"/>
  <c r="P93" i="9"/>
  <c r="P311" i="9"/>
  <c r="N161" i="9"/>
  <c r="L161" i="9"/>
  <c r="L89" i="9"/>
  <c r="N65" i="9"/>
  <c r="O65" i="9"/>
  <c r="P65" i="9"/>
  <c r="L65" i="9"/>
  <c r="N155" i="9"/>
  <c r="N93" i="9"/>
  <c r="L67" i="9"/>
  <c r="N89" i="9"/>
  <c r="P257" i="9"/>
  <c r="O255" i="9"/>
  <c r="O257" i="9"/>
  <c r="N29" i="9"/>
  <c r="P89" i="9"/>
  <c r="N255" i="9"/>
  <c r="L155" i="9"/>
  <c r="O67" i="9"/>
  <c r="L93" i="9"/>
  <c r="L59" i="9"/>
  <c r="L55" i="9"/>
  <c r="O55" i="9"/>
  <c r="L255" i="9"/>
  <c r="L257" i="9"/>
  <c r="O155" i="9"/>
  <c r="P67" i="9"/>
  <c r="N55" i="9"/>
  <c r="P255" i="9"/>
  <c r="P259" i="9"/>
  <c r="N257" i="9"/>
  <c r="P155" i="9"/>
  <c r="P53" i="9"/>
  <c r="P279" i="9"/>
  <c r="O135" i="9"/>
  <c r="N137" i="9"/>
  <c r="L29" i="9"/>
  <c r="O93" i="9"/>
  <c r="O89" i="9"/>
  <c r="N53" i="9"/>
  <c r="L279" i="9"/>
  <c r="O209" i="9"/>
  <c r="N127" i="9"/>
  <c r="O53" i="9"/>
  <c r="L137" i="9"/>
  <c r="P265" i="9"/>
  <c r="P291" i="9"/>
  <c r="O137" i="9"/>
  <c r="L83" i="9"/>
  <c r="L99" i="9"/>
  <c r="P203" i="9"/>
  <c r="L291" i="9"/>
  <c r="N251" i="9"/>
  <c r="P135" i="9"/>
  <c r="P137" i="9"/>
  <c r="L311" i="9"/>
  <c r="L203" i="9"/>
  <c r="P99" i="9"/>
  <c r="P267" i="9"/>
  <c r="O203" i="9"/>
  <c r="O187" i="9"/>
  <c r="L135" i="9"/>
  <c r="P109" i="9"/>
  <c r="P83" i="9"/>
  <c r="O99" i="9"/>
  <c r="L109" i="9"/>
  <c r="N203" i="9"/>
  <c r="N135" i="9"/>
  <c r="N83" i="9"/>
  <c r="N99" i="9"/>
  <c r="P59" i="9"/>
  <c r="N59" i="9"/>
  <c r="L51" i="9"/>
  <c r="N51" i="9"/>
  <c r="O51" i="9"/>
  <c r="P49" i="9"/>
  <c r="O49" i="9"/>
  <c r="N49" i="9"/>
  <c r="N41" i="9"/>
  <c r="L41" i="9"/>
  <c r="P41" i="9"/>
  <c r="N37" i="9"/>
  <c r="O37" i="9"/>
  <c r="P37" i="9"/>
  <c r="N31" i="9"/>
  <c r="O31" i="9"/>
  <c r="P31" i="9"/>
  <c r="P29" i="9"/>
  <c r="L27" i="9"/>
  <c r="N27" i="9"/>
  <c r="P27" i="9"/>
  <c r="N25" i="9"/>
  <c r="L25" i="9"/>
  <c r="P25" i="9"/>
  <c r="P19" i="9"/>
  <c r="O19" i="9"/>
  <c r="N19" i="9"/>
  <c r="O263" i="9"/>
  <c r="M263" i="9"/>
  <c r="O305" i="9"/>
  <c r="M305" i="9"/>
  <c r="O163" i="9"/>
  <c r="M163" i="9"/>
  <c r="S239" i="9"/>
  <c r="T239" i="9" s="1"/>
  <c r="S311" i="9"/>
  <c r="T311" i="9" s="1"/>
  <c r="S281" i="9"/>
  <c r="T281" i="9" s="1"/>
  <c r="S219" i="9"/>
  <c r="T219" i="9" s="1"/>
  <c r="S245" i="9"/>
  <c r="T245" i="9" s="1"/>
  <c r="S223" i="9"/>
  <c r="T223" i="9" s="1"/>
  <c r="S297" i="9"/>
  <c r="T297" i="9" s="1"/>
  <c r="S287" i="9"/>
  <c r="T287" i="9" s="1"/>
  <c r="S215" i="9"/>
  <c r="T215" i="9" s="1"/>
  <c r="S207" i="9"/>
  <c r="T207" i="9" s="1"/>
  <c r="S313" i="9"/>
  <c r="T313" i="9" s="1"/>
  <c r="S279" i="9"/>
  <c r="T279" i="9" s="1"/>
  <c r="S271" i="9"/>
  <c r="T271" i="9" s="1"/>
  <c r="N279" i="9"/>
  <c r="O291" i="9"/>
  <c r="O259" i="9"/>
  <c r="N311" i="9"/>
  <c r="O273" i="9"/>
  <c r="M273" i="9"/>
  <c r="P209" i="9"/>
  <c r="N191" i="9"/>
  <c r="M191" i="9"/>
  <c r="L239" i="9"/>
  <c r="M239" i="9"/>
  <c r="N261" i="9"/>
  <c r="M261" i="9"/>
  <c r="L163" i="9"/>
  <c r="O109" i="9"/>
  <c r="P161" i="9"/>
  <c r="O127" i="9"/>
  <c r="M127" i="9"/>
  <c r="R237" i="9"/>
  <c r="T237" i="9" s="1"/>
  <c r="R225" i="9"/>
  <c r="T225" i="9" s="1"/>
  <c r="R307" i="9"/>
  <c r="T307" i="9" s="1"/>
  <c r="R289" i="9"/>
  <c r="T289" i="9" s="1"/>
  <c r="R217" i="9"/>
  <c r="T217" i="9" s="1"/>
  <c r="R211" i="9"/>
  <c r="R303" i="9"/>
  <c r="T303" i="9" s="1"/>
  <c r="R293" i="9"/>
  <c r="T293" i="9" s="1"/>
  <c r="R305" i="9"/>
  <c r="T305" i="9" s="1"/>
  <c r="R265" i="9"/>
  <c r="T265" i="9" s="1"/>
  <c r="R269" i="9"/>
  <c r="T269" i="9" s="1"/>
  <c r="R277" i="9"/>
  <c r="T277" i="9" s="1"/>
  <c r="S79" i="9"/>
  <c r="S165" i="9"/>
  <c r="T165" i="9" s="1"/>
  <c r="S209" i="9"/>
  <c r="T209" i="9" s="1"/>
  <c r="S193" i="9"/>
  <c r="T193" i="9" s="1"/>
  <c r="S301" i="9"/>
  <c r="T301" i="9" s="1"/>
  <c r="S291" i="9"/>
  <c r="T291" i="9" s="1"/>
  <c r="S241" i="9"/>
  <c r="T241" i="9" s="1"/>
  <c r="S233" i="9"/>
  <c r="S235" i="9"/>
  <c r="T235" i="9" s="1"/>
  <c r="S273" i="9"/>
  <c r="T273" i="9" s="1"/>
  <c r="S299" i="9"/>
  <c r="T299" i="9" s="1"/>
  <c r="S187" i="9"/>
  <c r="S267" i="9"/>
  <c r="S275" i="9"/>
  <c r="T275" i="9" s="1"/>
  <c r="S283" i="9"/>
  <c r="S263" i="9"/>
  <c r="T263" i="9" s="1"/>
  <c r="N307" i="9"/>
  <c r="M307" i="9"/>
  <c r="L209" i="9"/>
  <c r="P297" i="9"/>
  <c r="M297" i="9"/>
  <c r="L201" i="9"/>
  <c r="M201" i="9"/>
  <c r="O287" i="9"/>
  <c r="M287" i="9"/>
  <c r="O279" i="9"/>
  <c r="N291" i="9"/>
  <c r="N259" i="9"/>
  <c r="L263" i="9"/>
  <c r="O311" i="9"/>
  <c r="O303" i="9"/>
  <c r="M303" i="9"/>
  <c r="N209" i="9"/>
  <c r="L251" i="9"/>
  <c r="M251" i="9"/>
  <c r="N265" i="9"/>
  <c r="M265" i="9"/>
  <c r="L187" i="9"/>
  <c r="M187" i="9"/>
  <c r="N267" i="9"/>
  <c r="M267" i="9"/>
  <c r="N109" i="9"/>
  <c r="O161" i="9"/>
  <c r="U71" i="9"/>
  <c r="V71" i="9" s="1"/>
  <c r="N133" i="9"/>
  <c r="M133" i="9"/>
  <c r="O297" i="9"/>
  <c r="P263" i="9"/>
  <c r="N201" i="9"/>
  <c r="P163" i="9"/>
  <c r="L287" i="9"/>
  <c r="L305" i="9"/>
  <c r="O201" i="9"/>
  <c r="O133" i="9"/>
  <c r="L265" i="9"/>
  <c r="P261" i="9"/>
  <c r="O267" i="9"/>
  <c r="L303" i="9"/>
  <c r="O251" i="9"/>
  <c r="N187" i="9"/>
  <c r="L133" i="9"/>
  <c r="L127" i="9"/>
  <c r="O33" i="9"/>
  <c r="N33" i="9"/>
  <c r="L33" i="9"/>
  <c r="P33" i="9"/>
  <c r="U43" i="9"/>
  <c r="V43" i="9" s="1"/>
  <c r="P47" i="9"/>
  <c r="L47" i="9"/>
  <c r="N47" i="9"/>
  <c r="O47" i="9"/>
  <c r="U21" i="9"/>
  <c r="V21" i="9" s="1"/>
  <c r="O79" i="9"/>
  <c r="N79" i="9"/>
  <c r="L79" i="9"/>
  <c r="P79" i="9"/>
  <c r="O61" i="9"/>
  <c r="N61" i="9"/>
  <c r="L61" i="9"/>
  <c r="P61" i="9"/>
  <c r="L191" i="9"/>
  <c r="P133" i="9"/>
  <c r="N35" i="9"/>
  <c r="P35" i="9"/>
  <c r="L35" i="9"/>
  <c r="O35" i="9"/>
  <c r="U45" i="9"/>
  <c r="V45" i="9" s="1"/>
  <c r="U39" i="9"/>
  <c r="V39" i="9" s="1"/>
  <c r="U95" i="9"/>
  <c r="V95" i="9" s="1"/>
  <c r="P287" i="9"/>
  <c r="O307" i="9"/>
  <c r="N239" i="9"/>
  <c r="U63" i="9"/>
  <c r="V63" i="9" s="1"/>
  <c r="P143" i="9"/>
  <c r="L143" i="9"/>
  <c r="N143" i="9"/>
  <c r="O143" i="9"/>
  <c r="O147" i="9"/>
  <c r="N147" i="9"/>
  <c r="P147" i="9"/>
  <c r="L147" i="9"/>
  <c r="O261" i="9"/>
  <c r="N273" i="9"/>
  <c r="P191" i="9"/>
  <c r="O239" i="9"/>
  <c r="O107" i="9"/>
  <c r="N107" i="9"/>
  <c r="P107" i="9"/>
  <c r="L107" i="9"/>
  <c r="O111" i="9"/>
  <c r="N111" i="9"/>
  <c r="P111" i="9"/>
  <c r="L111" i="9"/>
  <c r="L297" i="9"/>
  <c r="L261" i="9"/>
  <c r="N287" i="9"/>
  <c r="L273" i="9"/>
  <c r="P307" i="9"/>
  <c r="O191" i="9"/>
  <c r="P239" i="9"/>
  <c r="P201" i="9"/>
  <c r="O159" i="9"/>
  <c r="N159" i="9"/>
  <c r="P159" i="9"/>
  <c r="L159" i="9"/>
  <c r="N129" i="9"/>
  <c r="L129" i="9"/>
  <c r="P129" i="9"/>
  <c r="O129" i="9"/>
  <c r="P273" i="9"/>
  <c r="P149" i="9"/>
  <c r="L149" i="9"/>
  <c r="O149" i="9"/>
  <c r="N149" i="9"/>
  <c r="N105" i="9"/>
  <c r="P105" i="9"/>
  <c r="L105" i="9"/>
  <c r="O105" i="9"/>
  <c r="N181" i="9"/>
  <c r="P181" i="9"/>
  <c r="L181" i="9"/>
  <c r="O181" i="9"/>
  <c r="P303" i="9"/>
  <c r="P215" i="9"/>
  <c r="L215" i="9"/>
  <c r="N215" i="9"/>
  <c r="O215" i="9"/>
  <c r="N303" i="9"/>
  <c r="N263" i="9"/>
  <c r="N305" i="9"/>
  <c r="O217" i="9"/>
  <c r="N217" i="9"/>
  <c r="L217" i="9"/>
  <c r="P217" i="9"/>
  <c r="P199" i="9"/>
  <c r="L199" i="9"/>
  <c r="N199" i="9"/>
  <c r="O199" i="9"/>
  <c r="O193" i="9"/>
  <c r="N193" i="9"/>
  <c r="L193" i="9"/>
  <c r="P193" i="9"/>
  <c r="N195" i="9"/>
  <c r="P195" i="9"/>
  <c r="L195" i="9"/>
  <c r="O195" i="9"/>
  <c r="P271" i="9"/>
  <c r="L271" i="9"/>
  <c r="O271" i="9"/>
  <c r="N271" i="9"/>
  <c r="P293" i="9"/>
  <c r="L293" i="9"/>
  <c r="O293" i="9"/>
  <c r="N293" i="9"/>
  <c r="O301" i="9"/>
  <c r="P301" i="9"/>
  <c r="N301" i="9"/>
  <c r="L301" i="9"/>
  <c r="O281" i="9"/>
  <c r="P281" i="9"/>
  <c r="N281" i="9"/>
  <c r="L281" i="9"/>
  <c r="O269" i="9"/>
  <c r="P269" i="9"/>
  <c r="N269" i="9"/>
  <c r="L269" i="9"/>
  <c r="P313" i="9"/>
  <c r="L313" i="9"/>
  <c r="O313" i="9"/>
  <c r="N313" i="9"/>
  <c r="J17" i="9"/>
  <c r="O17" i="9" s="1"/>
  <c r="U322" i="9"/>
  <c r="U328" i="9" s="1"/>
  <c r="U317" i="9"/>
  <c r="U320" i="9" s="1"/>
  <c r="T233" i="9" l="1"/>
  <c r="U221" i="9"/>
  <c r="V221" i="9" s="1"/>
  <c r="T267" i="9"/>
  <c r="U267" i="9" s="1"/>
  <c r="V267" i="9" s="1"/>
  <c r="T187" i="9"/>
  <c r="U187" i="9" s="1"/>
  <c r="V187" i="9" s="1"/>
  <c r="J29" i="10"/>
  <c r="U309" i="9"/>
  <c r="V309" i="9" s="1"/>
  <c r="U253" i="9"/>
  <c r="V253" i="9" s="1"/>
  <c r="U247" i="9"/>
  <c r="V247" i="9" s="1"/>
  <c r="T229" i="9"/>
  <c r="U229" i="9" s="1"/>
  <c r="V229" i="9" s="1"/>
  <c r="T283" i="9"/>
  <c r="U283" i="9" s="1"/>
  <c r="V283" i="9" s="1"/>
  <c r="T77" i="9"/>
  <c r="U295" i="9"/>
  <c r="V295" i="9" s="1"/>
  <c r="U285" i="9"/>
  <c r="V285" i="9" s="1"/>
  <c r="U231" i="9"/>
  <c r="V231" i="9" s="1"/>
  <c r="U249" i="9"/>
  <c r="V249" i="9" s="1"/>
  <c r="U123" i="9"/>
  <c r="V123" i="9" s="1"/>
  <c r="U205" i="9"/>
  <c r="V205" i="9" s="1"/>
  <c r="U153" i="9"/>
  <c r="V153" i="9" s="1"/>
  <c r="U207" i="9"/>
  <c r="V207" i="9" s="1"/>
  <c r="U223" i="9"/>
  <c r="V223" i="9" s="1"/>
  <c r="U241" i="9"/>
  <c r="V241" i="9" s="1"/>
  <c r="U213" i="9"/>
  <c r="V213" i="9" s="1"/>
  <c r="U141" i="9"/>
  <c r="V141" i="9" s="1"/>
  <c r="U227" i="9"/>
  <c r="V227" i="9" s="1"/>
  <c r="U235" i="9"/>
  <c r="V235" i="9" s="1"/>
  <c r="U237" i="9"/>
  <c r="V237" i="9" s="1"/>
  <c r="U185" i="9"/>
  <c r="V185" i="9" s="1"/>
  <c r="U219" i="9"/>
  <c r="V219" i="9" s="1"/>
  <c r="U167" i="9"/>
  <c r="V167" i="9" s="1"/>
  <c r="U245" i="9"/>
  <c r="V245" i="9" s="1"/>
  <c r="U151" i="9"/>
  <c r="V151" i="9" s="1"/>
  <c r="U225" i="9"/>
  <c r="V225" i="9" s="1"/>
  <c r="U97" i="9"/>
  <c r="V97" i="9" s="1"/>
  <c r="U117" i="9"/>
  <c r="V117" i="9" s="1"/>
  <c r="U113" i="9"/>
  <c r="V113" i="9" s="1"/>
  <c r="U103" i="9"/>
  <c r="V103" i="9" s="1"/>
  <c r="U121" i="9"/>
  <c r="V121" i="9" s="1"/>
  <c r="U119" i="9"/>
  <c r="V119" i="9" s="1"/>
  <c r="U145" i="9"/>
  <c r="V145" i="9" s="1"/>
  <c r="U131" i="9"/>
  <c r="V131" i="9" s="1"/>
  <c r="U85" i="9"/>
  <c r="V85" i="9" s="1"/>
  <c r="U101" i="9"/>
  <c r="V101" i="9" s="1"/>
  <c r="U125" i="9"/>
  <c r="V125" i="9" s="1"/>
  <c r="U165" i="9"/>
  <c r="V165" i="9" s="1"/>
  <c r="U73" i="9"/>
  <c r="V73" i="9" s="1"/>
  <c r="U57" i="9"/>
  <c r="V57" i="9" s="1"/>
  <c r="U197" i="9"/>
  <c r="V197" i="9" s="1"/>
  <c r="U157" i="9"/>
  <c r="V157" i="9" s="1"/>
  <c r="U81" i="9"/>
  <c r="V81" i="9" s="1"/>
  <c r="U69" i="9"/>
  <c r="V69" i="9" s="1"/>
  <c r="U91" i="9"/>
  <c r="V91" i="9" s="1"/>
  <c r="U87" i="9"/>
  <c r="V87" i="9" s="1"/>
  <c r="U299" i="9"/>
  <c r="V299" i="9" s="1"/>
  <c r="U289" i="9"/>
  <c r="V289" i="9" s="1"/>
  <c r="U277" i="9"/>
  <c r="V277" i="9" s="1"/>
  <c r="U275" i="9"/>
  <c r="V275" i="9" s="1"/>
  <c r="U233" i="9"/>
  <c r="V233" i="9" s="1"/>
  <c r="U189" i="9"/>
  <c r="V189" i="9" s="1"/>
  <c r="U183" i="9"/>
  <c r="V183" i="9" s="1"/>
  <c r="U139" i="9"/>
  <c r="V139" i="9" s="1"/>
  <c r="U115" i="9"/>
  <c r="V115" i="9" s="1"/>
  <c r="U23" i="9"/>
  <c r="V23" i="9" s="1"/>
  <c r="U155" i="9"/>
  <c r="V155" i="9" s="1"/>
  <c r="U75" i="9"/>
  <c r="V75" i="9" s="1"/>
  <c r="U161" i="9"/>
  <c r="V161" i="9" s="1"/>
  <c r="U93" i="9"/>
  <c r="V93" i="9" s="1"/>
  <c r="U89" i="9"/>
  <c r="V89" i="9" s="1"/>
  <c r="U255" i="9"/>
  <c r="V255" i="9" s="1"/>
  <c r="U67" i="9"/>
  <c r="V67" i="9" s="1"/>
  <c r="U65" i="9"/>
  <c r="V65" i="9" s="1"/>
  <c r="U257" i="9"/>
  <c r="V257" i="9" s="1"/>
  <c r="U55" i="9"/>
  <c r="V55" i="9" s="1"/>
  <c r="U259" i="9"/>
  <c r="V259" i="9" s="1"/>
  <c r="U311" i="9"/>
  <c r="V311" i="9" s="1"/>
  <c r="U109" i="9"/>
  <c r="V109" i="9" s="1"/>
  <c r="U251" i="9"/>
  <c r="V251" i="9" s="1"/>
  <c r="U29" i="9"/>
  <c r="V29" i="9" s="1"/>
  <c r="U135" i="9"/>
  <c r="V135" i="9" s="1"/>
  <c r="U137" i="9"/>
  <c r="V137" i="9" s="1"/>
  <c r="U53" i="9"/>
  <c r="V53" i="9" s="1"/>
  <c r="U279" i="9"/>
  <c r="V279" i="9" s="1"/>
  <c r="U99" i="9"/>
  <c r="V99" i="9" s="1"/>
  <c r="U273" i="9"/>
  <c r="V273" i="9" s="1"/>
  <c r="U307" i="9"/>
  <c r="V307" i="9" s="1"/>
  <c r="U209" i="9"/>
  <c r="V209" i="9" s="1"/>
  <c r="U19" i="9"/>
  <c r="V19" i="9" s="1"/>
  <c r="U41" i="9"/>
  <c r="V41" i="9" s="1"/>
  <c r="U83" i="9"/>
  <c r="V83" i="9" s="1"/>
  <c r="U203" i="9"/>
  <c r="V203" i="9" s="1"/>
  <c r="U291" i="9"/>
  <c r="V291" i="9" s="1"/>
  <c r="U261" i="9"/>
  <c r="V261" i="9" s="1"/>
  <c r="U191" i="9"/>
  <c r="V191" i="9" s="1"/>
  <c r="M315" i="9"/>
  <c r="M330" i="9" s="1"/>
  <c r="U201" i="9"/>
  <c r="V201" i="9" s="1"/>
  <c r="U111" i="9"/>
  <c r="V111" i="9" s="1"/>
  <c r="U107" i="9"/>
  <c r="V107" i="9" s="1"/>
  <c r="U239" i="9"/>
  <c r="V239" i="9" s="1"/>
  <c r="U147" i="9"/>
  <c r="V147" i="9" s="1"/>
  <c r="U27" i="9"/>
  <c r="V27" i="9" s="1"/>
  <c r="U31" i="9"/>
  <c r="V31" i="9" s="1"/>
  <c r="U59" i="9"/>
  <c r="V59" i="9" s="1"/>
  <c r="U51" i="9"/>
  <c r="V51" i="9" s="1"/>
  <c r="U49" i="9"/>
  <c r="V49" i="9" s="1"/>
  <c r="U37" i="9"/>
  <c r="V37" i="9" s="1"/>
  <c r="U25" i="9"/>
  <c r="V25" i="9" s="1"/>
  <c r="T211" i="9"/>
  <c r="U211" i="9" s="1"/>
  <c r="V211" i="9" s="1"/>
  <c r="R315" i="9"/>
  <c r="R330" i="9" s="1"/>
  <c r="S315" i="9"/>
  <c r="S330" i="9" s="1"/>
  <c r="U305" i="9"/>
  <c r="V305" i="9" s="1"/>
  <c r="U297" i="9"/>
  <c r="V297" i="9" s="1"/>
  <c r="U265" i="9"/>
  <c r="V265" i="9" s="1"/>
  <c r="U287" i="9"/>
  <c r="V287" i="9" s="1"/>
  <c r="U127" i="9"/>
  <c r="V127" i="9" s="1"/>
  <c r="U163" i="9"/>
  <c r="V163" i="9" s="1"/>
  <c r="T79" i="9"/>
  <c r="U303" i="9"/>
  <c r="V303" i="9" s="1"/>
  <c r="U159" i="9"/>
  <c r="V159" i="9" s="1"/>
  <c r="U133" i="9"/>
  <c r="V133" i="9" s="1"/>
  <c r="U263" i="9"/>
  <c r="V263" i="9" s="1"/>
  <c r="U35" i="9"/>
  <c r="V35" i="9" s="1"/>
  <c r="U61" i="9"/>
  <c r="V61" i="9" s="1"/>
  <c r="U47" i="9"/>
  <c r="V47" i="9" s="1"/>
  <c r="U33" i="9"/>
  <c r="V33" i="9" s="1"/>
  <c r="U195" i="9"/>
  <c r="V195" i="9" s="1"/>
  <c r="U129" i="9"/>
  <c r="V129" i="9" s="1"/>
  <c r="U149" i="9"/>
  <c r="V149" i="9" s="1"/>
  <c r="U143" i="9"/>
  <c r="V143" i="9" s="1"/>
  <c r="U193" i="9"/>
  <c r="V193" i="9" s="1"/>
  <c r="U105" i="9"/>
  <c r="V105" i="9" s="1"/>
  <c r="U199" i="9"/>
  <c r="V199" i="9" s="1"/>
  <c r="U215" i="9"/>
  <c r="V215" i="9" s="1"/>
  <c r="U181" i="9"/>
  <c r="V181" i="9" s="1"/>
  <c r="U269" i="9"/>
  <c r="V269" i="9" s="1"/>
  <c r="U217" i="9"/>
  <c r="V217" i="9" s="1"/>
  <c r="U301" i="9"/>
  <c r="V301" i="9" s="1"/>
  <c r="U293" i="9"/>
  <c r="V293" i="9" s="1"/>
  <c r="U313" i="9"/>
  <c r="V313" i="9" s="1"/>
  <c r="U271" i="9"/>
  <c r="V271" i="9" s="1"/>
  <c r="U281" i="9"/>
  <c r="V281" i="9" s="1"/>
  <c r="P17" i="9"/>
  <c r="N17" i="9"/>
  <c r="L17" i="9"/>
  <c r="V317" i="9"/>
  <c r="V320" i="9" s="1"/>
  <c r="J315" i="9"/>
  <c r="V322" i="9"/>
  <c r="V328" i="9" s="1"/>
  <c r="U77" i="9" l="1"/>
  <c r="V77" i="9" s="1"/>
  <c r="M30" i="8"/>
  <c r="J330" i="9"/>
  <c r="L29" i="10"/>
  <c r="M34" i="8"/>
  <c r="N29" i="10"/>
  <c r="P29" i="10"/>
  <c r="O29" i="10"/>
  <c r="T315" i="9"/>
  <c r="T330" i="9" s="1"/>
  <c r="U79" i="9"/>
  <c r="V79" i="9" s="1"/>
  <c r="U17" i="9"/>
  <c r="V17" i="9" s="1"/>
  <c r="P315" i="9"/>
  <c r="P330" i="9" s="1"/>
  <c r="O315" i="9"/>
  <c r="O330" i="9" s="1"/>
  <c r="N315" i="9"/>
  <c r="L315" i="9"/>
  <c r="N330" i="9" l="1"/>
  <c r="M36" i="8" s="1"/>
  <c r="L330" i="9"/>
  <c r="M35" i="8" s="1"/>
  <c r="M33" i="8"/>
  <c r="M38" i="8"/>
  <c r="P65" i="8"/>
  <c r="P66" i="8" s="1"/>
  <c r="M37" i="8"/>
  <c r="U29" i="10"/>
  <c r="V315" i="9"/>
  <c r="V330" i="9" s="1"/>
  <c r="U315" i="9"/>
  <c r="U330" i="9" s="1"/>
  <c r="V29" i="10" l="1"/>
  <c r="A2" i="6"/>
  <c r="G27" i="8"/>
  <c r="G65" i="8"/>
  <c r="H27" i="8"/>
  <c r="H65" i="8"/>
  <c r="L27" i="8"/>
  <c r="L65" i="8"/>
  <c r="O27" i="8"/>
  <c r="O65" i="8"/>
  <c r="N27" i="8"/>
  <c r="N65" i="8"/>
  <c r="M27" i="8"/>
  <c r="J27" i="8"/>
  <c r="J65" i="8"/>
  <c r="I27" i="8"/>
  <c r="I65" i="8"/>
  <c r="K65" i="8"/>
  <c r="K27" i="8"/>
  <c r="J34" i="6"/>
  <c r="D58" i="6"/>
  <c r="O66" i="8" l="1"/>
  <c r="G66" i="8"/>
  <c r="G73" i="8" s="1"/>
  <c r="H72" i="8" s="1"/>
  <c r="I66" i="8"/>
  <c r="H66" i="8"/>
  <c r="K66" i="8"/>
  <c r="N66" i="8"/>
  <c r="J66" i="8"/>
  <c r="L66" i="8"/>
  <c r="H73" i="8" l="1"/>
  <c r="J72" i="8" s="1"/>
  <c r="J73" i="8" s="1"/>
  <c r="L72" i="8" l="1"/>
  <c r="L73" i="8" s="1"/>
  <c r="M72" i="8" s="1"/>
  <c r="I72" i="8"/>
  <c r="I73" i="8" s="1"/>
  <c r="N72" i="8" l="1"/>
  <c r="N73" i="8" s="1"/>
  <c r="O72" i="8"/>
  <c r="O73" i="8" s="1"/>
  <c r="P72" i="8" s="1"/>
  <c r="P73" i="8" s="1"/>
  <c r="M69" i="8" l="1"/>
  <c r="M32" i="8"/>
  <c r="R66" i="8" s="1"/>
  <c r="R68" i="8" s="1"/>
  <c r="R69" i="8" s="1"/>
  <c r="Q66" i="8" l="1"/>
  <c r="Q68" i="8" s="1"/>
  <c r="Q69" i="8" s="1"/>
  <c r="M65" i="8"/>
  <c r="M66" i="8" s="1"/>
  <c r="M73" i="8" s="1"/>
</calcChain>
</file>

<file path=xl/sharedStrings.xml><?xml version="1.0" encoding="utf-8"?>
<sst xmlns="http://schemas.openxmlformats.org/spreadsheetml/2006/main" count="1704" uniqueCount="803">
  <si>
    <t>Total</t>
  </si>
  <si>
    <t>BUDGET SUMMARY OF REVENUES AND EXPENDITURES</t>
  </si>
  <si>
    <t>Estimated</t>
  </si>
  <si>
    <t>Actual</t>
  </si>
  <si>
    <t>Budget</t>
  </si>
  <si>
    <t>Requested</t>
  </si>
  <si>
    <t>Tentative</t>
  </si>
  <si>
    <t>Approved</t>
  </si>
  <si>
    <t>Revenues</t>
  </si>
  <si>
    <t>Expenditures</t>
  </si>
  <si>
    <t>Total Revenues</t>
  </si>
  <si>
    <t>Total Expenditures</t>
  </si>
  <si>
    <t>Total Provided (Used)</t>
  </si>
  <si>
    <t>Department:</t>
  </si>
  <si>
    <t>CAPITAL IMPROVEMENTS REQUEST</t>
  </si>
  <si>
    <t>Name of Project:</t>
  </si>
  <si>
    <t>Location:</t>
  </si>
  <si>
    <t>Description:</t>
  </si>
  <si>
    <t>Justification:</t>
  </si>
  <si>
    <t>TYPE OF PROJECT:</t>
  </si>
  <si>
    <t>STATUS OF LAND:</t>
  </si>
  <si>
    <t xml:space="preserve">   NEW</t>
  </si>
  <si>
    <t xml:space="preserve">   NOT YET ACQUIRED</t>
  </si>
  <si>
    <t xml:space="preserve">   REPLACEMENT</t>
  </si>
  <si>
    <t xml:space="preserve">   PART ACQUIRED</t>
  </si>
  <si>
    <t xml:space="preserve">   ADDITION</t>
  </si>
  <si>
    <t xml:space="preserve">   ALL ACQUIRED</t>
  </si>
  <si>
    <t xml:space="preserve">   RECONSTRUCTION</t>
  </si>
  <si>
    <t xml:space="preserve">   NO LAND INVOLVED</t>
  </si>
  <si>
    <t xml:space="preserve">   ALTERATION</t>
  </si>
  <si>
    <t xml:space="preserve">   REHABILITATION</t>
  </si>
  <si>
    <t>ANNUAL OPERATING COSTS:</t>
  </si>
  <si>
    <t>STATUS OF PROJECT:</t>
  </si>
  <si>
    <t xml:space="preserve">   PRELIMINARY EST.</t>
  </si>
  <si>
    <t>PERSONNEL</t>
  </si>
  <si>
    <t xml:space="preserve">   SURVEY IN PROGRESS</t>
  </si>
  <si>
    <t xml:space="preserve">   SURVEY COMPLETED</t>
  </si>
  <si>
    <t>SUPPLIES &amp; SERVICES</t>
  </si>
  <si>
    <t xml:space="preserve">   SKETCHES COMPLETED</t>
  </si>
  <si>
    <t xml:space="preserve">   PLANS IN PREPARATION</t>
  </si>
  <si>
    <t>CAPITAL EQUIPMENT</t>
  </si>
  <si>
    <t xml:space="preserve">   PLANS &amp; SPECS COMPLETED</t>
  </si>
  <si>
    <t xml:space="preserve">   CONSTRUCTION UNDERWAY</t>
  </si>
  <si>
    <t xml:space="preserve">           Department: </t>
  </si>
  <si>
    <t>REVENUE SOURCE FOR PROJECT:</t>
  </si>
  <si>
    <t>PROJECT COST:</t>
  </si>
  <si>
    <t>Federal Funds</t>
  </si>
  <si>
    <t>ENGINEERING</t>
  </si>
  <si>
    <t>State Funds</t>
  </si>
  <si>
    <t>Other Grants</t>
  </si>
  <si>
    <t>DEMOLITION</t>
  </si>
  <si>
    <t>Property Taxes</t>
  </si>
  <si>
    <t>SITE IMPROVEMENT</t>
  </si>
  <si>
    <t>Other Sources (List)</t>
  </si>
  <si>
    <t>fees</t>
  </si>
  <si>
    <t>CONSTRUCTION</t>
  </si>
  <si>
    <t>LANDSCAPING, FURNITURE</t>
  </si>
  <si>
    <t xml:space="preserve">       &amp; EQUIPMENT</t>
  </si>
  <si>
    <t xml:space="preserve">   OTHER</t>
  </si>
  <si>
    <t xml:space="preserve">   10% ALLOWANCE FOR</t>
  </si>
  <si>
    <t xml:space="preserve">       CONTINGENCIES</t>
  </si>
  <si>
    <t>Account Number / Description</t>
  </si>
  <si>
    <t>1.0%</t>
  </si>
  <si>
    <t>3.0%</t>
  </si>
  <si>
    <t>Thru 6/30</t>
  </si>
  <si>
    <t>No Growth Target =</t>
  </si>
  <si>
    <t>No Growth Check =</t>
  </si>
  <si>
    <t>1% Target</t>
  </si>
  <si>
    <t>3% Target</t>
  </si>
  <si>
    <t>2011</t>
  </si>
  <si>
    <t>Beginning Fund Balance</t>
  </si>
  <si>
    <t>Ending Fund Balance</t>
  </si>
  <si>
    <t>2012</t>
  </si>
  <si>
    <t>2013</t>
  </si>
  <si>
    <t>RETIREMENT RATES</t>
  </si>
  <si>
    <t>MERIT</t>
  </si>
  <si>
    <t>Tier I (OLD)</t>
  </si>
  <si>
    <t>Regular</t>
  </si>
  <si>
    <t>R</t>
  </si>
  <si>
    <t>COLA</t>
  </si>
  <si>
    <t>Medical</t>
  </si>
  <si>
    <t>Dental</t>
  </si>
  <si>
    <t>Reg Post-Retire Before 7/1/2010</t>
  </si>
  <si>
    <t>D</t>
  </si>
  <si>
    <t>DISAB</t>
  </si>
  <si>
    <t>Single</t>
  </si>
  <si>
    <t>Reg Post-Retire After 7/1/2010</t>
  </si>
  <si>
    <t>F</t>
  </si>
  <si>
    <t>FICA</t>
  </si>
  <si>
    <t>Two-Party</t>
  </si>
  <si>
    <t>Public Safety</t>
  </si>
  <si>
    <t>PS</t>
  </si>
  <si>
    <t>TERM POOL</t>
  </si>
  <si>
    <t>Family</t>
  </si>
  <si>
    <t>PS Post-Retire Before 7/1/2010</t>
  </si>
  <si>
    <t>PD</t>
  </si>
  <si>
    <t>WC</t>
  </si>
  <si>
    <t>COB</t>
  </si>
  <si>
    <t>PS Post-Retire After 7/1/2010</t>
  </si>
  <si>
    <t>PF</t>
  </si>
  <si>
    <t>None</t>
  </si>
  <si>
    <t>N</t>
  </si>
  <si>
    <t>Tier II (NEW)</t>
  </si>
  <si>
    <t>Regular Hybrid</t>
  </si>
  <si>
    <t>RHB</t>
  </si>
  <si>
    <t>Public Safety Hybrid</t>
  </si>
  <si>
    <t>PSH</t>
  </si>
  <si>
    <t xml:space="preserve">Job </t>
  </si>
  <si>
    <t>Anniv</t>
  </si>
  <si>
    <t>Grade</t>
  </si>
  <si>
    <t>Base</t>
  </si>
  <si>
    <t>Calculated</t>
  </si>
  <si>
    <t>Term</t>
  </si>
  <si>
    <t>Wrk</t>
  </si>
  <si>
    <t>Grand</t>
  </si>
  <si>
    <t>Code</t>
  </si>
  <si>
    <t>Title</t>
  </si>
  <si>
    <t>Employee Name</t>
  </si>
  <si>
    <t>Date</t>
  </si>
  <si>
    <t>/Step</t>
  </si>
  <si>
    <t>Hours</t>
  </si>
  <si>
    <t>Rate</t>
  </si>
  <si>
    <t>Wages</t>
  </si>
  <si>
    <t>Retirement</t>
  </si>
  <si>
    <t>Disab</t>
  </si>
  <si>
    <t>Pool</t>
  </si>
  <si>
    <t>Comp</t>
  </si>
  <si>
    <t>Ins</t>
  </si>
  <si>
    <t>Benefits</t>
  </si>
  <si>
    <t>FTE's</t>
  </si>
  <si>
    <t>AUTO ALLOWANCE:</t>
  </si>
  <si>
    <t>CELL PHONE ALLOWANCE:</t>
  </si>
  <si>
    <t>GRAND TOTAL</t>
  </si>
  <si>
    <t>NO</t>
  </si>
  <si>
    <t>EMPLOYEE #1</t>
  </si>
  <si>
    <t>EMPLOYEE #2</t>
  </si>
  <si>
    <t>EMPLOYEE #3</t>
  </si>
  <si>
    <t>EMPLOYEE #4</t>
  </si>
  <si>
    <t>EMPLOYEE #5</t>
  </si>
  <si>
    <t>MISC. REQUEST</t>
  </si>
  <si>
    <t>Page 1</t>
  </si>
  <si>
    <t>SUBMITTED BY:</t>
  </si>
  <si>
    <t>DEPARTMENT HEAD SIGNATURE  _______________________________________</t>
  </si>
  <si>
    <t>Misc. Requested</t>
  </si>
  <si>
    <t>Estimated Cost</t>
  </si>
  <si>
    <t>Justification</t>
  </si>
  <si>
    <t xml:space="preserve">  TOTAL ALL PAGES</t>
  </si>
  <si>
    <t>Additional Comments:</t>
  </si>
  <si>
    <t>Page 2</t>
  </si>
  <si>
    <t>Equipment Requested</t>
  </si>
  <si>
    <t xml:space="preserve">  TOTAL THIS PAGE</t>
  </si>
  <si>
    <t>Page 3</t>
  </si>
  <si>
    <t>EQUIPMENT REQUEST</t>
  </si>
  <si>
    <t>2014</t>
  </si>
  <si>
    <t>2013 Orig</t>
  </si>
  <si>
    <t>2013 Adj</t>
  </si>
  <si>
    <t>2013 Actual</t>
  </si>
  <si>
    <t>2014 REDUCTIONS</t>
  </si>
  <si>
    <t>2014 PERSONNEL SCHEDULE</t>
  </si>
  <si>
    <t>2014 Annual Rates</t>
  </si>
  <si>
    <t>2014 Monthly Rates</t>
  </si>
  <si>
    <t>2014 PERSONNEL REQUESTS</t>
  </si>
  <si>
    <t>02</t>
  </si>
  <si>
    <t>4581</t>
  </si>
  <si>
    <t>3110</t>
  </si>
  <si>
    <t>0000</t>
  </si>
  <si>
    <t>000</t>
  </si>
  <si>
    <t>CURRENT PROPERTY TAXES----</t>
  </si>
  <si>
    <t>3115</t>
  </si>
  <si>
    <t>REGISTERED VEHICLE FEES----</t>
  </si>
  <si>
    <t>3120</t>
  </si>
  <si>
    <t>DELINQUENT TAXES----</t>
  </si>
  <si>
    <t>3190</t>
  </si>
  <si>
    <t>INTEREST ON DELINQUENT TAXES----</t>
  </si>
  <si>
    <t>3310</t>
  </si>
  <si>
    <t>FEDERAL GRANTS----</t>
  </si>
  <si>
    <t>3340</t>
  </si>
  <si>
    <t>506</t>
  </si>
  <si>
    <t>STATE GRANTS---STATE LIBRARY CLEF GRANT</t>
  </si>
  <si>
    <t>0150</t>
  </si>
  <si>
    <t>STATE GRANTS-STATE LIBRARY CONTRACT--</t>
  </si>
  <si>
    <t>3476</t>
  </si>
  <si>
    <t>0812</t>
  </si>
  <si>
    <t>ON LINE SEARCH FEES-BOOK REPLACEMENT FEES--</t>
  </si>
  <si>
    <t>0814</t>
  </si>
  <si>
    <t>ON LINE SEARCH FEES-LATE BOOK FEES--</t>
  </si>
  <si>
    <t>3610</t>
  </si>
  <si>
    <t>0902</t>
  </si>
  <si>
    <t>INTEREST-INTEREST EARNINGS--</t>
  </si>
  <si>
    <t>3620</t>
  </si>
  <si>
    <t>0921</t>
  </si>
  <si>
    <t>RENTS-AFTER HOURS--</t>
  </si>
  <si>
    <t>0922</t>
  </si>
  <si>
    <t>RENTS-MEETING ROOMS AND FACILITITES--</t>
  </si>
  <si>
    <t>0923</t>
  </si>
  <si>
    <t>RENTS-PLEASANT VIEW CAFE AREA--</t>
  </si>
  <si>
    <t>3690</t>
  </si>
  <si>
    <t>1014</t>
  </si>
  <si>
    <t>SUNDRY REVENUE-SUNDRY REVENUE--</t>
  </si>
  <si>
    <t>3691</t>
  </si>
  <si>
    <t>OVER/SHORT----</t>
  </si>
  <si>
    <t>4110</t>
  </si>
  <si>
    <t>1112</t>
  </si>
  <si>
    <t>SALARIES AND WAGES-SALARIES &amp; WAGES - PERM. EMPLO--</t>
  </si>
  <si>
    <t>600</t>
  </si>
  <si>
    <t>SALARIES AND WAGES-SALARIES &amp; WAGES - PERM. EMPLO-AUTO ALLOWANCE</t>
  </si>
  <si>
    <t>625</t>
  </si>
  <si>
    <t>SALARIES AND WAGES-SALARIES &amp; WAGES - PERM. EMPLO-CELL PHONE ALLOWANCE</t>
  </si>
  <si>
    <t>4130</t>
  </si>
  <si>
    <t>1122</t>
  </si>
  <si>
    <t>EMPLOYEE BENEFITS-HEALTH/DENTAL INSURANCE--</t>
  </si>
  <si>
    <t>1124</t>
  </si>
  <si>
    <t>EMPLOYEE BENEFITS-DISABILITY--</t>
  </si>
  <si>
    <t>1126</t>
  </si>
  <si>
    <t>EMPLOYEE BENEFITS-RETIREMENT--</t>
  </si>
  <si>
    <t>1128</t>
  </si>
  <si>
    <t>EMPLOYEE BENEFITS-FICA--</t>
  </si>
  <si>
    <t>1130</t>
  </si>
  <si>
    <t>EMPLOYEE BENEFITS-TERMINATION POOL--</t>
  </si>
  <si>
    <t>1132</t>
  </si>
  <si>
    <t>EMPLOYEE BENEFITS-WORKER'S COMP.--</t>
  </si>
  <si>
    <t>4230</t>
  </si>
  <si>
    <t>TRAINING &amp; TRAVEL----</t>
  </si>
  <si>
    <t>1143</t>
  </si>
  <si>
    <t>TRAINING &amp; TRAVEL-MILEAGE REIMBURSEMENT--</t>
  </si>
  <si>
    <t>1144</t>
  </si>
  <si>
    <t>TRAINING &amp; TRAVEL-TRANSPORTATION--</t>
  </si>
  <si>
    <t>1145</t>
  </si>
  <si>
    <t>TRAINING &amp; TRAVEL-LODGING--</t>
  </si>
  <si>
    <t>1146</t>
  </si>
  <si>
    <t>TRAINING &amp; TRAVEL-PER DIEM--</t>
  </si>
  <si>
    <t>4240</t>
  </si>
  <si>
    <t>OFFICE EXPENSE &amp; SUPPLIES----</t>
  </si>
  <si>
    <t>1153</t>
  </si>
  <si>
    <t>OFFICE EXPENSE &amp; SUPPLIES-POSTAGE--</t>
  </si>
  <si>
    <t>4242</t>
  </si>
  <si>
    <t>BANK CHARGES----</t>
  </si>
  <si>
    <t>4250</t>
  </si>
  <si>
    <t>EQUIPMENT MAINTENANCE----</t>
  </si>
  <si>
    <t>1172</t>
  </si>
  <si>
    <t>EQUIPMENT MAINTENANCE-FLEET VEHICLES--</t>
  </si>
  <si>
    <t>4260</t>
  </si>
  <si>
    <t>BUILDING MAINTENANCE----</t>
  </si>
  <si>
    <t>4270</t>
  </si>
  <si>
    <t>UTILITIES----</t>
  </si>
  <si>
    <t>4280</t>
  </si>
  <si>
    <t>TELEPHONE----</t>
  </si>
  <si>
    <t>4340</t>
  </si>
  <si>
    <t>SPECIAL SERVICES----</t>
  </si>
  <si>
    <t>4480</t>
  </si>
  <si>
    <t>SPECIAL SUPPLIES----</t>
  </si>
  <si>
    <t>4552</t>
  </si>
  <si>
    <t>4501</t>
  </si>
  <si>
    <t>ADMINISTRATIVE FEES-GENERAL FUND--</t>
  </si>
  <si>
    <t>4650</t>
  </si>
  <si>
    <t>0004</t>
  </si>
  <si>
    <t>PURCHASING CARD-SUSPENSE--</t>
  </si>
  <si>
    <t>4730</t>
  </si>
  <si>
    <t>BUILDING IMPROVEMENTS----</t>
  </si>
  <si>
    <t>4739</t>
  </si>
  <si>
    <t>CONTROLLED ASSETS----</t>
  </si>
  <si>
    <t>4740</t>
  </si>
  <si>
    <t>EQUIPMENT----</t>
  </si>
  <si>
    <t>502</t>
  </si>
  <si>
    <t>EQUIPMENT---HRSA</t>
  </si>
  <si>
    <t>EQUIPMENT---STATE LIBRARY CLEF GRANT</t>
  </si>
  <si>
    <t>4770</t>
  </si>
  <si>
    <t>LIBRARY BOOKS &amp; MATERIALS----</t>
  </si>
  <si>
    <t>4950</t>
  </si>
  <si>
    <t>4600</t>
  </si>
  <si>
    <t>TRANSFERS TO OTHER FUNDS-DEBT SERVICE FUND--</t>
  </si>
  <si>
    <t>4980</t>
  </si>
  <si>
    <t>4139</t>
  </si>
  <si>
    <t>INTERDEPT. CHARGES-RISK MANAGEMENT--</t>
  </si>
  <si>
    <t>LIBRARY</t>
  </si>
  <si>
    <t>090-1</t>
  </si>
  <si>
    <t>LIBRARY SUBSTITUTES-EXEMPT</t>
  </si>
  <si>
    <t>CLEMENTS, MICHAEL BRENT</t>
  </si>
  <si>
    <t>01-Jan</t>
  </si>
  <si>
    <t xml:space="preserve">EX/  </t>
  </si>
  <si>
    <t>090-2</t>
  </si>
  <si>
    <t>SHELBURNE, ELAINE OLSEN</t>
  </si>
  <si>
    <t>090-3</t>
  </si>
  <si>
    <t>RASMUSSEN, LAURA S</t>
  </si>
  <si>
    <t>090-5</t>
  </si>
  <si>
    <t>SHUPE, III, EARL CLIFTON</t>
  </si>
  <si>
    <t>090-6</t>
  </si>
  <si>
    <t>FIFE, BARBARA HALE</t>
  </si>
  <si>
    <t>090-7</t>
  </si>
  <si>
    <t>HIGLEY, WILLIAM E</t>
  </si>
  <si>
    <t>090-9</t>
  </si>
  <si>
    <t>BYRD, SARA</t>
  </si>
  <si>
    <t>090-10</t>
  </si>
  <si>
    <t>LUDLOW, BRYNNE</t>
  </si>
  <si>
    <t>27-Apr</t>
  </si>
  <si>
    <t>090-11</t>
  </si>
  <si>
    <t>THOMAS, MARCIA ANN</t>
  </si>
  <si>
    <t>02-Apr</t>
  </si>
  <si>
    <t>090-12</t>
  </si>
  <si>
    <t>VOGEL, ANNE</t>
  </si>
  <si>
    <t>090-13</t>
  </si>
  <si>
    <t>EMORY, PEGGY A</t>
  </si>
  <si>
    <t>090-14</t>
  </si>
  <si>
    <t>090-15</t>
  </si>
  <si>
    <t>CHENEY-DOSIER, ANDREA</t>
  </si>
  <si>
    <t>090-18</t>
  </si>
  <si>
    <t>090-19</t>
  </si>
  <si>
    <t>RADLE, SARAH A</t>
  </si>
  <si>
    <t>090-20</t>
  </si>
  <si>
    <t>WARNER, SHAROL</t>
  </si>
  <si>
    <t>090-21</t>
  </si>
  <si>
    <t>BOYER, DEBBIE RAE</t>
  </si>
  <si>
    <t>090-23</t>
  </si>
  <si>
    <t>BOKINSKIE, KRIS D</t>
  </si>
  <si>
    <t>090-34</t>
  </si>
  <si>
    <t>SMITH, DAYNA R</t>
  </si>
  <si>
    <t>090-35</t>
  </si>
  <si>
    <t>MITCHELL, DEJA M</t>
  </si>
  <si>
    <t>090-36</t>
  </si>
  <si>
    <t>HALE, KIMBAL WILFORD</t>
  </si>
  <si>
    <t>090-38</t>
  </si>
  <si>
    <t>WILLIAMS, LAUREN NOEL</t>
  </si>
  <si>
    <t>090-40</t>
  </si>
  <si>
    <t>ZUBILLER, ADRIENNE PALMER</t>
  </si>
  <si>
    <t>094-1</t>
  </si>
  <si>
    <t>DEPT DIRECTOR-APPOINTED-EXEMPT</t>
  </si>
  <si>
    <t>WANGSGARD, LYNNDA</t>
  </si>
  <si>
    <t>603-1</t>
  </si>
  <si>
    <t>LIBRARY PAGE I</t>
  </si>
  <si>
    <t>NELSON, TINA JOY</t>
  </si>
  <si>
    <t>603-2</t>
  </si>
  <si>
    <t>THOMPSON, JAY J</t>
  </si>
  <si>
    <t>23-Jan</t>
  </si>
  <si>
    <t>603-5</t>
  </si>
  <si>
    <t>MOORE, JILL ANHDER</t>
  </si>
  <si>
    <t>21-Dec</t>
  </si>
  <si>
    <t>603-10</t>
  </si>
  <si>
    <t>GRIFFIN, DEL J</t>
  </si>
  <si>
    <t>18-Jul</t>
  </si>
  <si>
    <t>603-17</t>
  </si>
  <si>
    <t>INMAN, KIP AARON</t>
  </si>
  <si>
    <t>30-Mar</t>
  </si>
  <si>
    <t>603-22</t>
  </si>
  <si>
    <t>NEWMAN, ARENE</t>
  </si>
  <si>
    <t>20-Feb</t>
  </si>
  <si>
    <t>603-24</t>
  </si>
  <si>
    <t>CUNNINGHAM, MARY LOU</t>
  </si>
  <si>
    <t>11-Mar</t>
  </si>
  <si>
    <t>603-28</t>
  </si>
  <si>
    <t>REYES MARQUEZ, ANA MARIA</t>
  </si>
  <si>
    <t>603-31</t>
  </si>
  <si>
    <t>SCOTT, CRYSTAL J</t>
  </si>
  <si>
    <t>04-Feb</t>
  </si>
  <si>
    <t>603-35</t>
  </si>
  <si>
    <t>603-36</t>
  </si>
  <si>
    <t>WHITAKER, HOPE</t>
  </si>
  <si>
    <t>603-37</t>
  </si>
  <si>
    <t>PARSONS, COURTNI LYNN</t>
  </si>
  <si>
    <t>603-38</t>
  </si>
  <si>
    <t>ROMERO, NICHOLE DAWN</t>
  </si>
  <si>
    <t>17-Feb</t>
  </si>
  <si>
    <t>603-40</t>
  </si>
  <si>
    <t>612-1</t>
  </si>
  <si>
    <t>TECHNICAL SPECIALIST I-BUS</t>
  </si>
  <si>
    <t>612-2</t>
  </si>
  <si>
    <t>SPIERS, GREG</t>
  </si>
  <si>
    <t>04-Jun</t>
  </si>
  <si>
    <t>612-3</t>
  </si>
  <si>
    <t>MARCUSEN, ILENE</t>
  </si>
  <si>
    <t>06-Aug</t>
  </si>
  <si>
    <t>612-4</t>
  </si>
  <si>
    <t>ABSHIRE, KIMBERLY MARIE</t>
  </si>
  <si>
    <t>28-Dec</t>
  </si>
  <si>
    <t>612-7</t>
  </si>
  <si>
    <t>WOOD, JOANY MARIE</t>
  </si>
  <si>
    <t>15-May</t>
  </si>
  <si>
    <t>612-8</t>
  </si>
  <si>
    <t>ASTHANA, SURENDRA K</t>
  </si>
  <si>
    <t>612-10</t>
  </si>
  <si>
    <t>VALLE, DRAKE KAIHILANI</t>
  </si>
  <si>
    <t>612-13</t>
  </si>
  <si>
    <t>BRYSON, RACHEL A</t>
  </si>
  <si>
    <t>612-15</t>
  </si>
  <si>
    <t>MCKEE, JAZMINE RAE DEE</t>
  </si>
  <si>
    <t>03-Aug</t>
  </si>
  <si>
    <t>612-16</t>
  </si>
  <si>
    <t>612-18</t>
  </si>
  <si>
    <t>612-21</t>
  </si>
  <si>
    <t>FUNTANILLA, ARIN NICOLETTE</t>
  </si>
  <si>
    <t>612-22</t>
  </si>
  <si>
    <t>MAHALINGAM, SHEELA</t>
  </si>
  <si>
    <t>06-Apr</t>
  </si>
  <si>
    <t>612-25</t>
  </si>
  <si>
    <t>BENNETT, TIFFANY L</t>
  </si>
  <si>
    <t>612-26</t>
  </si>
  <si>
    <t>WYNN, SEAN PATRICK</t>
  </si>
  <si>
    <t>612-32</t>
  </si>
  <si>
    <t>TAYLOR, DELORES K</t>
  </si>
  <si>
    <t>612-36</t>
  </si>
  <si>
    <t>VALLE, DIRK KEOLANI</t>
  </si>
  <si>
    <t>613-1</t>
  </si>
  <si>
    <t>TECHNICAL SPECIALIST II-BUS</t>
  </si>
  <si>
    <t>PRIETO, CANDIDA D</t>
  </si>
  <si>
    <t>17-Aug</t>
  </si>
  <si>
    <t>620-1</t>
  </si>
  <si>
    <t>ASSISTANT SPECIALIST I</t>
  </si>
  <si>
    <t>CULLISON, VALERIE HEIGHTO</t>
  </si>
  <si>
    <t>13-Mar</t>
  </si>
  <si>
    <t>620-4</t>
  </si>
  <si>
    <t>LAMBERSON, THERESA A</t>
  </si>
  <si>
    <t>25-Jan</t>
  </si>
  <si>
    <t>620-6</t>
  </si>
  <si>
    <t>BRIONES, JENNIFER M</t>
  </si>
  <si>
    <t>19-Sep</t>
  </si>
  <si>
    <t>620-7</t>
  </si>
  <si>
    <t>RICHINS, JASON R</t>
  </si>
  <si>
    <t>05-Feb</t>
  </si>
  <si>
    <t>620-13</t>
  </si>
  <si>
    <t>620-14</t>
  </si>
  <si>
    <t>SAXTON, AMY JO</t>
  </si>
  <si>
    <t>10-May</t>
  </si>
  <si>
    <t>620-15</t>
  </si>
  <si>
    <t>620-16</t>
  </si>
  <si>
    <t>PROTZMAN, HEATHER SUE</t>
  </si>
  <si>
    <t>620-17</t>
  </si>
  <si>
    <t>OATES, CORINNE ELIZABE</t>
  </si>
  <si>
    <t>620-18</t>
  </si>
  <si>
    <t>BARKER, CHRISTINE ANN</t>
  </si>
  <si>
    <t>620-25</t>
  </si>
  <si>
    <t>RUSCH, ANTHONY JASON</t>
  </si>
  <si>
    <t>01-Mar</t>
  </si>
  <si>
    <t>620-27</t>
  </si>
  <si>
    <t>RAY, CAMILIEA TANA</t>
  </si>
  <si>
    <t>620-28</t>
  </si>
  <si>
    <t>PHILPOT, HEIDI N</t>
  </si>
  <si>
    <t>620-29</t>
  </si>
  <si>
    <t>MAZARIEGOS, CARLOS</t>
  </si>
  <si>
    <t>08-Jul</t>
  </si>
  <si>
    <t>620-30</t>
  </si>
  <si>
    <t>OLSON, REBECCA LUCIA</t>
  </si>
  <si>
    <t>06-Jul</t>
  </si>
  <si>
    <t>620-32</t>
  </si>
  <si>
    <t>DOHMEN, KIRSTEN CHERYL</t>
  </si>
  <si>
    <t>620-33</t>
  </si>
  <si>
    <t>NIPPING, AHNYA</t>
  </si>
  <si>
    <t>623-1</t>
  </si>
  <si>
    <t>ASSISTANT LIBRARIAN I</t>
  </si>
  <si>
    <t>FITZPATRICK, MEGAN M</t>
  </si>
  <si>
    <t>630-1</t>
  </si>
  <si>
    <t>ASSOCIATE SPECIALIST I</t>
  </si>
  <si>
    <t>SAWATZKI, ROBERT  J</t>
  </si>
  <si>
    <t>09-Jan</t>
  </si>
  <si>
    <t>12/17</t>
  </si>
  <si>
    <t>12/18</t>
  </si>
  <si>
    <t>630-2</t>
  </si>
  <si>
    <t>ENOMOTO-RUSSELL, LINDA J</t>
  </si>
  <si>
    <t>20-Oct</t>
  </si>
  <si>
    <t>12/07</t>
  </si>
  <si>
    <t>630-3</t>
  </si>
  <si>
    <t>CAMACHO, CARLOS ALBERTO</t>
  </si>
  <si>
    <t>12/23</t>
  </si>
  <si>
    <t>12/24</t>
  </si>
  <si>
    <t>630-4</t>
  </si>
  <si>
    <t>FUNES, NANCY LIZETTE</t>
  </si>
  <si>
    <t>04-Sep</t>
  </si>
  <si>
    <t>12/03</t>
  </si>
  <si>
    <t>640-1</t>
  </si>
  <si>
    <t>LIBRARY SPECIALIST I</t>
  </si>
  <si>
    <t>SUMMERS, SUELLEN</t>
  </si>
  <si>
    <t>06-Mar</t>
  </si>
  <si>
    <t>16/07</t>
  </si>
  <si>
    <t>16/08</t>
  </si>
  <si>
    <t>640-2</t>
  </si>
  <si>
    <t>HOGAN, SUZANNE</t>
  </si>
  <si>
    <t>23-Dec</t>
  </si>
  <si>
    <t>16/13</t>
  </si>
  <si>
    <t>640-3</t>
  </si>
  <si>
    <t>VALLE, JULIA LYNETTE</t>
  </si>
  <si>
    <t>16/02</t>
  </si>
  <si>
    <t>16/03</t>
  </si>
  <si>
    <t>640-4</t>
  </si>
  <si>
    <t>SOKOLIK, LEZLIE REINKING</t>
  </si>
  <si>
    <t>21-Jul</t>
  </si>
  <si>
    <t>641-1</t>
  </si>
  <si>
    <t>LIBRARY SPECIALIST II</t>
  </si>
  <si>
    <t>REEDER, BRYANT R</t>
  </si>
  <si>
    <t>14-Feb</t>
  </si>
  <si>
    <t>17/23</t>
  </si>
  <si>
    <t>17/24</t>
  </si>
  <si>
    <t>643-2</t>
  </si>
  <si>
    <t>LIBRARIAN I</t>
  </si>
  <si>
    <t>POTTER, CHERYL L</t>
  </si>
  <si>
    <t>08-Feb</t>
  </si>
  <si>
    <t>17/07</t>
  </si>
  <si>
    <t>17/08</t>
  </si>
  <si>
    <t>643-10</t>
  </si>
  <si>
    <t>ZUCKERMAN, MELISSA BLAKE</t>
  </si>
  <si>
    <t>17/05</t>
  </si>
  <si>
    <t>17/06</t>
  </si>
  <si>
    <t>643-12</t>
  </si>
  <si>
    <t>17/10</t>
  </si>
  <si>
    <t>17/11</t>
  </si>
  <si>
    <t>643-13</t>
  </si>
  <si>
    <t>17/02</t>
  </si>
  <si>
    <t>17/03</t>
  </si>
  <si>
    <t>643-15</t>
  </si>
  <si>
    <t>JOHNSON, BENJAMIN M</t>
  </si>
  <si>
    <t>25-Jun</t>
  </si>
  <si>
    <t>17/04</t>
  </si>
  <si>
    <t>643-16</t>
  </si>
  <si>
    <t>WHETMAN, JESSICA JUNE</t>
  </si>
  <si>
    <t>07-Jan</t>
  </si>
  <si>
    <t>643-17</t>
  </si>
  <si>
    <t>YOUNG-BURNS, VICTORIA LOUISE</t>
  </si>
  <si>
    <t>03-Feb</t>
  </si>
  <si>
    <t>643-18</t>
  </si>
  <si>
    <t>WESTERN, ANN</t>
  </si>
  <si>
    <t>644-5</t>
  </si>
  <si>
    <t>LIBRARIAN II</t>
  </si>
  <si>
    <t>IGO, ANGELA</t>
  </si>
  <si>
    <t>18/03</t>
  </si>
  <si>
    <t>18/04</t>
  </si>
  <si>
    <t>660-3</t>
  </si>
  <si>
    <t>ASSISTANT SPECIALIST I-PROP</t>
  </si>
  <si>
    <t>RICHARDSON, PAUL HENRY</t>
  </si>
  <si>
    <t>660-4</t>
  </si>
  <si>
    <t>CASTILLO, FRANCHOT</t>
  </si>
  <si>
    <t>05-Jul</t>
  </si>
  <si>
    <t>660-5</t>
  </si>
  <si>
    <t>CHRISTOPHERSON, BRETT REO</t>
  </si>
  <si>
    <t>660-6</t>
  </si>
  <si>
    <t>FROST, JACQUELINE</t>
  </si>
  <si>
    <t>21-Jun</t>
  </si>
  <si>
    <t>664-1</t>
  </si>
  <si>
    <t>ASSISTANT SPECIALIST I-COMP</t>
  </si>
  <si>
    <t>NOWAK, TIMOTHY A</t>
  </si>
  <si>
    <t>667-1</t>
  </si>
  <si>
    <t>ASSISTANT SPECIALIST I-BUS</t>
  </si>
  <si>
    <t>SHAW, MARVIN E</t>
  </si>
  <si>
    <t>10-Aug</t>
  </si>
  <si>
    <t>10/24</t>
  </si>
  <si>
    <t>667-2</t>
  </si>
  <si>
    <t>LEE, KIMBERLY</t>
  </si>
  <si>
    <t>10/02</t>
  </si>
  <si>
    <t>667-9</t>
  </si>
  <si>
    <t>HANSEN, MAREN</t>
  </si>
  <si>
    <t>23-Jul</t>
  </si>
  <si>
    <t>670-1</t>
  </si>
  <si>
    <t>ASSOCIATE MANAGER I-PROP</t>
  </si>
  <si>
    <t>HODGES, STEVE HENRY</t>
  </si>
  <si>
    <t>04-Oct</t>
  </si>
  <si>
    <t>13/16</t>
  </si>
  <si>
    <t>13/17</t>
  </si>
  <si>
    <t>670-3</t>
  </si>
  <si>
    <t>CROWTHER, LESLIE GRAY</t>
  </si>
  <si>
    <t>13/04</t>
  </si>
  <si>
    <t>13/05</t>
  </si>
  <si>
    <t>670-4</t>
  </si>
  <si>
    <t>DYE, ROYCE EMRY</t>
  </si>
  <si>
    <t>26-Apr</t>
  </si>
  <si>
    <t>13/02</t>
  </si>
  <si>
    <t>13/03</t>
  </si>
  <si>
    <t>670-5</t>
  </si>
  <si>
    <t>ARMSTRONG, ROBERT R</t>
  </si>
  <si>
    <t>13-May</t>
  </si>
  <si>
    <t>673-1</t>
  </si>
  <si>
    <t>ASSOCIATE MANAGER I-BUS</t>
  </si>
  <si>
    <t>LARSEN, HOLLEY J</t>
  </si>
  <si>
    <t>31-Aug</t>
  </si>
  <si>
    <t>14/02</t>
  </si>
  <si>
    <t>14/03</t>
  </si>
  <si>
    <t>673-2</t>
  </si>
  <si>
    <t>RODIE, AMANDA A</t>
  </si>
  <si>
    <t>673-6</t>
  </si>
  <si>
    <t>CREER, SHARI L</t>
  </si>
  <si>
    <t>23-Sep</t>
  </si>
  <si>
    <t>14/12</t>
  </si>
  <si>
    <t>STEPHENS, KIYANNA DANIELL</t>
  </si>
  <si>
    <t>14/04</t>
  </si>
  <si>
    <t>673-9</t>
  </si>
  <si>
    <t>MCDANIEL, KAYLA MALAN</t>
  </si>
  <si>
    <t>673-10</t>
  </si>
  <si>
    <t>BATSON, ECKO L</t>
  </si>
  <si>
    <t>25-Nov</t>
  </si>
  <si>
    <t>674-1</t>
  </si>
  <si>
    <t>ASSOCIATE MANAGER II-BUS</t>
  </si>
  <si>
    <t>TILLOTSON, JANET KAYE</t>
  </si>
  <si>
    <t>12-Jun</t>
  </si>
  <si>
    <t>15/21</t>
  </si>
  <si>
    <t>15/22</t>
  </si>
  <si>
    <t>677-2</t>
  </si>
  <si>
    <t>ASSOCIATE MANAGER II-COMPUTER</t>
  </si>
  <si>
    <t>SANTIAGO, ZANDRO FLORES</t>
  </si>
  <si>
    <t>15/12</t>
  </si>
  <si>
    <t>15/13</t>
  </si>
  <si>
    <t>680-1</t>
  </si>
  <si>
    <t>BUSINESS MANAGER I</t>
  </si>
  <si>
    <t>OKUHARA, HOLLY COLE</t>
  </si>
  <si>
    <t>19/09</t>
  </si>
  <si>
    <t>19/10</t>
  </si>
  <si>
    <t>680-2</t>
  </si>
  <si>
    <t>LOVATO, SARAH A</t>
  </si>
  <si>
    <t>29-Apr</t>
  </si>
  <si>
    <t>19/08</t>
  </si>
  <si>
    <t>680-3</t>
  </si>
  <si>
    <t>PUDLOCK, KATHRYN E</t>
  </si>
  <si>
    <t>681-4</t>
  </si>
  <si>
    <t>BUSINESS MANAGER II</t>
  </si>
  <si>
    <t>CARTER, PHOEBE MERRIN</t>
  </si>
  <si>
    <t>20/18</t>
  </si>
  <si>
    <t>20/19</t>
  </si>
  <si>
    <t>682-2</t>
  </si>
  <si>
    <t>BUSINESS MANAGER III</t>
  </si>
  <si>
    <t>BOOTH, ANN F</t>
  </si>
  <si>
    <t>18-Sep</t>
  </si>
  <si>
    <t>21/18</t>
  </si>
  <si>
    <t>682-3</t>
  </si>
  <si>
    <t>YIP, MONYEE</t>
  </si>
  <si>
    <t>19-Mar</t>
  </si>
  <si>
    <t>21/19</t>
  </si>
  <si>
    <t>21/20</t>
  </si>
  <si>
    <t>682-4</t>
  </si>
  <si>
    <t>MUELLER, RANDAL C</t>
  </si>
  <si>
    <t>17-Apr</t>
  </si>
  <si>
    <t>682-5</t>
  </si>
  <si>
    <t>WILSON, KEVIN RICKS</t>
  </si>
  <si>
    <t>24-Dec</t>
  </si>
  <si>
    <t>21/21</t>
  </si>
  <si>
    <t>684-1</t>
  </si>
  <si>
    <t>SENIOR PROPERTY MANAGER II</t>
  </si>
  <si>
    <t>HADLEY, THOMAS LYNN</t>
  </si>
  <si>
    <t>25-Oct</t>
  </si>
  <si>
    <t>17/13</t>
  </si>
  <si>
    <t>17/14</t>
  </si>
  <si>
    <t>691-2</t>
  </si>
  <si>
    <t>ASSISTANT LIBRARY DIRECTOR II</t>
  </si>
  <si>
    <t>JONES, SCOTT D</t>
  </si>
  <si>
    <t>23/20</t>
  </si>
  <si>
    <t>23/21</t>
  </si>
  <si>
    <t>692-1</t>
  </si>
  <si>
    <t>ASSISTANT LIBRARY DIRECTOR III</t>
  </si>
  <si>
    <t>BURTON, KAREN ROSEMARY</t>
  </si>
  <si>
    <t>25/19</t>
  </si>
  <si>
    <t>25/20</t>
  </si>
  <si>
    <t>VACANT</t>
  </si>
  <si>
    <t xml:space="preserve"> </t>
  </si>
  <si>
    <t>090-30</t>
  </si>
  <si>
    <t>090-31</t>
  </si>
  <si>
    <t>090-4</t>
  </si>
  <si>
    <t>GRIMA, SUNEE</t>
  </si>
  <si>
    <t>090-37</t>
  </si>
  <si>
    <t>090-39</t>
  </si>
  <si>
    <t>090-41</t>
  </si>
  <si>
    <t>090-42</t>
  </si>
  <si>
    <t>093A-3</t>
  </si>
  <si>
    <t xml:space="preserve">ASSISTANT  DIRECTOR II </t>
  </si>
  <si>
    <t>CHAVEZ, ANDREA A.</t>
  </si>
  <si>
    <t>STACY, CHRISTNE</t>
  </si>
  <si>
    <t>12/08</t>
  </si>
  <si>
    <t>12/04</t>
  </si>
  <si>
    <t>16/14</t>
  </si>
  <si>
    <t>17/21</t>
  </si>
  <si>
    <t>17/22</t>
  </si>
  <si>
    <t>17/01</t>
  </si>
  <si>
    <t>10/03</t>
  </si>
  <si>
    <t>14/13</t>
  </si>
  <si>
    <t>19/12</t>
  </si>
  <si>
    <t>19/13</t>
  </si>
  <si>
    <t>603-4</t>
  </si>
  <si>
    <t>SPORTSMAN, DENAE M</t>
  </si>
  <si>
    <t>603-26</t>
  </si>
  <si>
    <t>SALVADOR, REBECCA V</t>
  </si>
  <si>
    <t>603-32</t>
  </si>
  <si>
    <t>CORDOVA, KARI S</t>
  </si>
  <si>
    <t>603-45</t>
  </si>
  <si>
    <t>603-39</t>
  </si>
  <si>
    <t>MORLEY, EMILY J</t>
  </si>
  <si>
    <t>612-33</t>
  </si>
  <si>
    <t>612-35</t>
  </si>
  <si>
    <t>YASAR, GULBIN</t>
  </si>
  <si>
    <t>620-8</t>
  </si>
  <si>
    <t>WATKINS, VANESSA F</t>
  </si>
  <si>
    <t>620-10</t>
  </si>
  <si>
    <t>FUNES, ERIC A</t>
  </si>
  <si>
    <t>620-12</t>
  </si>
  <si>
    <t>BOWTHORPE, CORY</t>
  </si>
  <si>
    <t>HARRIS, ZACHARY L</t>
  </si>
  <si>
    <t>620-20</t>
  </si>
  <si>
    <t>641-2</t>
  </si>
  <si>
    <t>643-11</t>
  </si>
  <si>
    <t>DUNHAM, KRISTA</t>
  </si>
  <si>
    <t>SMITH DEBORAH</t>
  </si>
  <si>
    <t>643-14</t>
  </si>
  <si>
    <t>HOLT, DUSTIN G</t>
  </si>
  <si>
    <t>644-4</t>
  </si>
  <si>
    <t xml:space="preserve">VACANT </t>
  </si>
  <si>
    <t>18/01</t>
  </si>
  <si>
    <t>18/02</t>
  </si>
  <si>
    <t>660-2</t>
  </si>
  <si>
    <t>676-1</t>
  </si>
  <si>
    <t>ASSOCIATE MANAGER I-COMPUTER</t>
  </si>
  <si>
    <t>15/01</t>
  </si>
  <si>
    <t>15/02</t>
  </si>
  <si>
    <t>681-5</t>
  </si>
  <si>
    <t>20/01</t>
  </si>
  <si>
    <t>20/02</t>
  </si>
  <si>
    <t>691-1</t>
  </si>
  <si>
    <t>22/01</t>
  </si>
  <si>
    <t>22/02</t>
  </si>
  <si>
    <t>Lynnda Wangsgard</t>
  </si>
  <si>
    <t>Karen Burton</t>
  </si>
  <si>
    <t>Scott Jones</t>
  </si>
  <si>
    <t>Kevin Wilson</t>
  </si>
  <si>
    <t>Tom Hadley</t>
  </si>
  <si>
    <t>LONGEVITY PAY:</t>
  </si>
  <si>
    <t>(Current hourly rate: $19.70 x 2% = $0.39</t>
  </si>
  <si>
    <t>08/01</t>
  </si>
  <si>
    <t>08/02</t>
  </si>
  <si>
    <t>08/03</t>
  </si>
  <si>
    <t>08/04</t>
  </si>
  <si>
    <t>09/03</t>
  </si>
  <si>
    <t>09/04</t>
  </si>
  <si>
    <t>08/07</t>
  </si>
  <si>
    <t>08/08</t>
  </si>
  <si>
    <t>01/05</t>
  </si>
  <si>
    <t>01 /06</t>
  </si>
  <si>
    <t>01/06</t>
  </si>
  <si>
    <t>01/01</t>
  </si>
  <si>
    <t>01/02</t>
  </si>
  <si>
    <t>01/12</t>
  </si>
  <si>
    <t>01 /13</t>
  </si>
  <si>
    <t>01/14</t>
  </si>
  <si>
    <t>01/15</t>
  </si>
  <si>
    <t>01/07</t>
  </si>
  <si>
    <t>01/08</t>
  </si>
  <si>
    <t>01/09</t>
  </si>
  <si>
    <t xml:space="preserve">01/03 </t>
  </si>
  <si>
    <t>06/1</t>
  </si>
  <si>
    <t>06/2</t>
  </si>
  <si>
    <t>06/18</t>
  </si>
  <si>
    <t>06/19</t>
  </si>
  <si>
    <t>06/03</t>
  </si>
  <si>
    <t>06/04</t>
  </si>
  <si>
    <t>06/06</t>
  </si>
  <si>
    <t>06/07</t>
  </si>
  <si>
    <t>06/05</t>
  </si>
  <si>
    <t>06/01</t>
  </si>
  <si>
    <t>06/02</t>
  </si>
  <si>
    <t>07/13</t>
  </si>
  <si>
    <t>07/14</t>
  </si>
  <si>
    <t>08/19</t>
  </si>
  <si>
    <t>08/20</t>
  </si>
  <si>
    <t>08/11</t>
  </si>
  <si>
    <t>08/12</t>
  </si>
  <si>
    <t>08/05</t>
  </si>
  <si>
    <t>08/06</t>
  </si>
  <si>
    <t>08/09</t>
  </si>
  <si>
    <t>08/13</t>
  </si>
  <si>
    <t>Board Request</t>
  </si>
  <si>
    <t>Auditor</t>
  </si>
  <si>
    <t>Library</t>
  </si>
  <si>
    <t>Compellant SC8000 SAN Controllers</t>
  </si>
  <si>
    <t>Parking Slurry Seal</t>
  </si>
  <si>
    <t>the life of the parking surface.</t>
  </si>
  <si>
    <t>See above</t>
  </si>
  <si>
    <t>X</t>
  </si>
  <si>
    <t xml:space="preserve">Asphalt parking areas will be sealed to avoid costly repairs and extend </t>
  </si>
  <si>
    <t xml:space="preserve">  </t>
  </si>
  <si>
    <t>2%, 2%</t>
  </si>
  <si>
    <t>.5%, 1%</t>
  </si>
  <si>
    <t xml:space="preserve">Projected </t>
  </si>
  <si>
    <t>2013, 2014</t>
  </si>
  <si>
    <t>+/- 2012 -</t>
  </si>
  <si>
    <t xml:space="preserve">This configuration will provide the maximum level of redundancy for the Library's IP storage network.  Redundant SAN controllers are required to also support updates and migrations to Sierra System during business hours.  </t>
  </si>
  <si>
    <t>Pleasant Valley Branch 5568 Adams Ave, Washington Terrace, UT</t>
  </si>
  <si>
    <t>LAND ACQUISITIONS</t>
  </si>
  <si>
    <t>Please see details submitted under</t>
  </si>
  <si>
    <t>separate cover.</t>
  </si>
  <si>
    <t>Royce Dye - NEW REQUEST</t>
  </si>
  <si>
    <t>CATEGORY NAME</t>
  </si>
  <si>
    <t>2011 ACTUAL</t>
  </si>
  <si>
    <t>2012 ACTUAL</t>
  </si>
  <si>
    <t>2013 ADJ</t>
  </si>
  <si>
    <t>2013 EST</t>
  </si>
  <si>
    <t>2013 ORIG</t>
  </si>
  <si>
    <t>2013 TO 6/30</t>
  </si>
  <si>
    <t>2014 REQ</t>
  </si>
  <si>
    <t>REV</t>
  </si>
  <si>
    <t>TAXES</t>
  </si>
  <si>
    <t>LICENSES, PERMITS, &amp; FEES</t>
  </si>
  <si>
    <t>INTERGOVERNMENTAL</t>
  </si>
  <si>
    <t>CHARGES FOR SERVICES</t>
  </si>
  <si>
    <t>MISCELLANEOUS</t>
  </si>
  <si>
    <t>REV Total</t>
  </si>
  <si>
    <t>EXP</t>
  </si>
  <si>
    <t>SALARIES &amp; WAGES</t>
  </si>
  <si>
    <t>BENEFITS</t>
  </si>
  <si>
    <t>TRAINING &amp; TRAVEL</t>
  </si>
  <si>
    <t>OTHER CURRENT EXP</t>
  </si>
  <si>
    <t>CAPITAL PROJECTS</t>
  </si>
  <si>
    <t>INTERDEPT CHARGES</t>
  </si>
  <si>
    <t>TRANSFERS</t>
  </si>
  <si>
    <t>EXP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</si>
</sst>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00_);_(* \(#,##0.00\);_(* &quot;-&quot;_);_(@_)"/>
    <numFmt numFmtId="165" formatCode="0_);\(0\)"/>
    <numFmt numFmtId="166" formatCode="[$-409]d\-mmm;@"/>
    <numFmt numFmtId="167" formatCode="_([$$-409]* #,##0.00_);_([$$-409]* \(#,##0.00\);_([$$-409]* &quot;-&quot;??_);_(@_)"/>
  </numFmts>
  <fonts count="25" x14ac:knownFonts="1">
    <font>
      <sz val="10"/>
      <name val="Times New Roman"/>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10"/>
      <name val="Times New Roman"/>
      <family val="1"/>
    </font>
    <font>
      <b/>
      <sz val="11"/>
      <name val="Times New Roman"/>
      <family val="1"/>
    </font>
    <font>
      <b/>
      <sz val="10"/>
      <name val="Times New Roman"/>
      <family val="1"/>
    </font>
    <font>
      <sz val="10"/>
      <name val="Arial"/>
      <family val="2"/>
    </font>
    <font>
      <b/>
      <sz val="12"/>
      <name val="Times New Roman"/>
      <family val="1"/>
    </font>
    <font>
      <sz val="8"/>
      <name val="Times New Roman"/>
      <family val="1"/>
    </font>
    <font>
      <sz val="10"/>
      <color indexed="10"/>
      <name val="Times New Roman"/>
      <family val="1"/>
    </font>
    <font>
      <sz val="14"/>
      <name val="Times New Roman"/>
      <family val="1"/>
    </font>
    <font>
      <sz val="14"/>
      <name val="Arial"/>
      <family val="2"/>
    </font>
    <font>
      <sz val="12"/>
      <name val="Arial"/>
      <family val="2"/>
    </font>
    <font>
      <b/>
      <sz val="18"/>
      <name val="Arial"/>
      <family val="2"/>
    </font>
    <font>
      <b/>
      <sz val="12"/>
      <name val="Arial"/>
      <family val="2"/>
    </font>
    <font>
      <sz val="11"/>
      <color indexed="8"/>
      <name val="Calibri"/>
      <family val="2"/>
    </font>
    <font>
      <sz val="10"/>
      <name val="Times New Roman"/>
      <family val="1"/>
    </font>
    <font>
      <sz val="10"/>
      <name val="Arial"/>
      <family val="2"/>
    </font>
    <font>
      <sz val="10"/>
      <color theme="1"/>
      <name val="Times New Roman"/>
      <family val="1"/>
    </font>
    <font>
      <sz val="8"/>
      <name val="Arial"/>
      <family val="2"/>
    </font>
    <font>
      <b/>
      <sz val="10"/>
      <color theme="1"/>
      <name val="Times New Roman"/>
      <family val="1"/>
    </font>
  </fonts>
  <fills count="20">
    <fill>
      <patternFill patternType="none"/>
    </fill>
    <fill>
      <patternFill patternType="gray125"/>
    </fill>
    <fill>
      <patternFill patternType="solid">
        <fgColor indexed="9"/>
        <bgColor indexed="9"/>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6" tint="0.59999389629810485"/>
        <bgColor indexed="64"/>
      </patternFill>
    </fill>
    <fill>
      <patternFill patternType="solid">
        <fgColor indexed="43"/>
        <bgColor indexed="64"/>
      </patternFill>
    </fill>
    <fill>
      <patternFill patternType="solid">
        <fgColor indexed="51"/>
        <bgColor indexed="64"/>
      </patternFill>
    </fill>
    <fill>
      <patternFill patternType="solid">
        <fgColor theme="6"/>
        <bgColor indexed="64"/>
      </patternFill>
    </fill>
    <fill>
      <patternFill patternType="solid">
        <fgColor indexed="44"/>
        <bgColor indexed="64"/>
      </patternFill>
    </fill>
    <fill>
      <patternFill patternType="solid">
        <fgColor indexed="40"/>
        <bgColor indexed="64"/>
      </patternFill>
    </fill>
    <fill>
      <patternFill patternType="solid">
        <fgColor theme="7" tint="0.59999389629810485"/>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rgb="FFCCC0DA"/>
        <bgColor indexed="64"/>
      </patternFill>
    </fill>
    <fill>
      <patternFill patternType="solid">
        <fgColor theme="5" tint="0.79998168889431442"/>
        <bgColor indexed="64"/>
      </patternFill>
    </fill>
  </fills>
  <borders count="20">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double">
        <color indexed="8"/>
      </top>
      <bottom/>
      <diagonal/>
    </border>
    <border>
      <left style="thin">
        <color indexed="8"/>
      </left>
      <right style="thin">
        <color indexed="8"/>
      </right>
      <top style="thin">
        <color indexed="8"/>
      </top>
      <bottom style="thin">
        <color indexed="8"/>
      </bottom>
      <diagonal/>
    </border>
  </borders>
  <cellStyleXfs count="119">
    <xf numFmtId="0" fontId="0" fillId="0" borderId="0"/>
    <xf numFmtId="0" fontId="6" fillId="0" borderId="0"/>
    <xf numFmtId="0" fontId="6" fillId="0" borderId="0"/>
    <xf numFmtId="0" fontId="6" fillId="0" borderId="0"/>
    <xf numFmtId="9" fontId="6" fillId="0" borderId="0" applyFont="0" applyFill="0" applyBorder="0" applyAlignment="0" applyProtection="0"/>
    <xf numFmtId="0" fontId="10" fillId="0" borderId="0"/>
    <xf numFmtId="43" fontId="6" fillId="0" borderId="0" applyFont="0" applyFill="0" applyBorder="0" applyAlignment="0" applyProtection="0"/>
    <xf numFmtId="44" fontId="6" fillId="0" borderId="0" applyFont="0" applyFill="0" applyBorder="0" applyAlignment="0" applyProtection="0"/>
    <xf numFmtId="3" fontId="10" fillId="0" borderId="0" applyFont="0" applyFill="0" applyBorder="0" applyAlignment="0" applyProtection="0"/>
    <xf numFmtId="44" fontId="6" fillId="0" borderId="0" applyFont="0" applyFill="0" applyBorder="0" applyAlignment="0" applyProtection="0"/>
    <xf numFmtId="7" fontId="10" fillId="0" borderId="0" applyFont="0" applyFill="0" applyBorder="0" applyAlignment="0" applyProtection="0"/>
    <xf numFmtId="7" fontId="10" fillId="0" borderId="0" applyFont="0" applyFill="0" applyBorder="0" applyAlignment="0" applyProtection="0"/>
    <xf numFmtId="5"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0" fillId="0" borderId="0">
      <alignment vertical="top"/>
    </xf>
    <xf numFmtId="0" fontId="5" fillId="0" borderId="0"/>
    <xf numFmtId="9" fontId="6" fillId="0" borderId="0" applyFont="0" applyFill="0" applyBorder="0" applyAlignment="0" applyProtection="0"/>
    <xf numFmtId="0" fontId="10" fillId="0" borderId="18" applyNumberFormat="0" applyFont="0" applyFill="0" applyAlignment="0" applyProtection="0"/>
    <xf numFmtId="0" fontId="5" fillId="0" borderId="0"/>
    <xf numFmtId="0" fontId="10" fillId="0" borderId="0">
      <alignment vertical="top"/>
    </xf>
    <xf numFmtId="43" fontId="10" fillId="0" borderId="0" applyFont="0" applyFill="0" applyBorder="0" applyAlignment="0" applyProtection="0"/>
    <xf numFmtId="3" fontId="10" fillId="0" borderId="0" applyFont="0" applyFill="0" applyBorder="0" applyAlignment="0" applyProtection="0"/>
    <xf numFmtId="7" fontId="10" fillId="0" borderId="0" applyFont="0" applyFill="0" applyBorder="0" applyAlignment="0" applyProtection="0"/>
    <xf numFmtId="7" fontId="10"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5"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 fillId="0" borderId="0">
      <alignment vertical="top"/>
    </xf>
    <xf numFmtId="0" fontId="5" fillId="0" borderId="0"/>
    <xf numFmtId="0" fontId="10" fillId="0" borderId="18" applyNumberFormat="0" applyFont="0" applyFill="0" applyAlignment="0" applyProtection="0"/>
    <xf numFmtId="44" fontId="5" fillId="0" borderId="0" applyFont="0" applyFill="0" applyBorder="0" applyAlignment="0" applyProtection="0"/>
    <xf numFmtId="167" fontId="10" fillId="0" borderId="0">
      <alignment vertical="top"/>
    </xf>
    <xf numFmtId="0" fontId="5" fillId="0" borderId="0"/>
    <xf numFmtId="0" fontId="10" fillId="0" borderId="0">
      <alignment vertical="top"/>
    </xf>
    <xf numFmtId="0" fontId="17" fillId="0" borderId="0" applyNumberFormat="0" applyFill="0" applyBorder="0" applyAlignment="0" applyProtection="0"/>
    <xf numFmtId="0" fontId="18" fillId="0" borderId="0" applyNumberFormat="0" applyFill="0" applyBorder="0" applyAlignment="0" applyProtection="0"/>
    <xf numFmtId="0" fontId="10" fillId="0" borderId="0">
      <alignment vertical="top"/>
    </xf>
    <xf numFmtId="3" fontId="10" fillId="0" borderId="0" applyFont="0" applyFill="0" applyBorder="0" applyAlignment="0" applyProtection="0"/>
    <xf numFmtId="5"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4" fontId="5" fillId="0" borderId="0" applyFont="0" applyFill="0" applyBorder="0" applyAlignment="0" applyProtection="0"/>
    <xf numFmtId="0" fontId="10" fillId="0" borderId="0">
      <alignment vertical="top"/>
    </xf>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 fillId="0" borderId="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10" fillId="0" borderId="0">
      <alignment vertical="top"/>
    </xf>
    <xf numFmtId="7" fontId="10" fillId="0" borderId="0" applyFont="0" applyFill="0" applyBorder="0" applyAlignment="0" applyProtection="0"/>
    <xf numFmtId="167" fontId="10" fillId="0" borderId="0">
      <alignment vertical="top"/>
    </xf>
    <xf numFmtId="0" fontId="4" fillId="0" borderId="0"/>
    <xf numFmtId="44" fontId="4" fillId="0" borderId="0" applyFont="0" applyFill="0" applyBorder="0" applyAlignment="0" applyProtection="0"/>
    <xf numFmtId="0" fontId="10" fillId="0" borderId="0">
      <alignment vertical="top"/>
    </xf>
    <xf numFmtId="0" fontId="10" fillId="0" borderId="18" applyNumberFormat="0" applyFont="0" applyFill="0" applyAlignment="0" applyProtection="0"/>
    <xf numFmtId="0" fontId="4" fillId="0" borderId="0"/>
    <xf numFmtId="0" fontId="4" fillId="0" borderId="0"/>
    <xf numFmtId="43" fontId="10" fillId="0" borderId="0" applyFont="0" applyFill="0" applyBorder="0" applyAlignment="0" applyProtection="0"/>
    <xf numFmtId="7" fontId="10" fillId="0" borderId="0" applyFont="0" applyFill="0" applyBorder="0" applyAlignment="0" applyProtection="0"/>
    <xf numFmtId="0" fontId="10" fillId="0" borderId="0">
      <alignment vertical="top"/>
    </xf>
    <xf numFmtId="0" fontId="4" fillId="0" borderId="0"/>
    <xf numFmtId="44" fontId="4" fillId="0" borderId="0" applyFont="0" applyFill="0" applyBorder="0" applyAlignment="0" applyProtection="0"/>
    <xf numFmtId="0" fontId="10" fillId="0" borderId="0">
      <alignment vertical="top"/>
    </xf>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21" fillId="0" borderId="0">
      <alignment vertical="top"/>
    </xf>
    <xf numFmtId="0" fontId="20"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1" fillId="0" borderId="0"/>
  </cellStyleXfs>
  <cellXfs count="365">
    <xf numFmtId="0" fontId="0" fillId="0" borderId="0" xfId="0"/>
    <xf numFmtId="41" fontId="0" fillId="0" borderId="0" xfId="0" applyNumberFormat="1"/>
    <xf numFmtId="49" fontId="0" fillId="0" borderId="0" xfId="0" applyNumberFormat="1"/>
    <xf numFmtId="0" fontId="7" fillId="2" borderId="0" xfId="1" applyFont="1" applyFill="1"/>
    <xf numFmtId="5" fontId="7" fillId="2" borderId="0" xfId="1" applyNumberFormat="1" applyFont="1" applyFill="1"/>
    <xf numFmtId="0" fontId="7" fillId="0" borderId="0" xfId="1" applyFont="1"/>
    <xf numFmtId="0" fontId="7" fillId="2" borderId="0" xfId="1" applyFont="1" applyFill="1" applyAlignment="1">
      <alignment horizontal="centerContinuous"/>
    </xf>
    <xf numFmtId="5" fontId="7" fillId="2" borderId="0" xfId="1" applyNumberFormat="1" applyFont="1" applyFill="1" applyAlignment="1">
      <alignment horizontal="centerContinuous"/>
    </xf>
    <xf numFmtId="0" fontId="7" fillId="2" borderId="0" xfId="1" applyFont="1" applyFill="1" applyBorder="1" applyAlignment="1">
      <alignment horizontal="centerContinuous"/>
    </xf>
    <xf numFmtId="0" fontId="7" fillId="2" borderId="0" xfId="1" applyFont="1" applyFill="1" applyBorder="1"/>
    <xf numFmtId="0" fontId="7" fillId="2" borderId="0" xfId="1" applyFont="1" applyFill="1" applyBorder="1" applyAlignment="1">
      <alignment horizontal="right"/>
    </xf>
    <xf numFmtId="0" fontId="7" fillId="2" borderId="0" xfId="1" applyFont="1" applyFill="1" applyAlignment="1">
      <alignment horizontal="left"/>
    </xf>
    <xf numFmtId="0" fontId="7" fillId="2" borderId="2" xfId="1" applyFont="1" applyFill="1" applyBorder="1"/>
    <xf numFmtId="5" fontId="7" fillId="2" borderId="2" xfId="1" applyNumberFormat="1" applyFont="1" applyFill="1" applyBorder="1"/>
    <xf numFmtId="0" fontId="7" fillId="2" borderId="1" xfId="1" applyFont="1" applyFill="1" applyBorder="1"/>
    <xf numFmtId="5" fontId="7" fillId="2" borderId="1" xfId="1" applyNumberFormat="1" applyFont="1" applyFill="1" applyBorder="1"/>
    <xf numFmtId="0" fontId="7" fillId="2" borderId="5" xfId="1" applyFont="1" applyFill="1" applyBorder="1"/>
    <xf numFmtId="0" fontId="9" fillId="2" borderId="0" xfId="1" applyFont="1" applyFill="1"/>
    <xf numFmtId="5" fontId="7" fillId="2" borderId="6" xfId="1" applyNumberFormat="1" applyFont="1" applyFill="1" applyBorder="1"/>
    <xf numFmtId="0" fontId="9" fillId="2" borderId="0" xfId="1" applyFont="1" applyFill="1" applyAlignment="1">
      <alignment horizontal="centerContinuous"/>
    </xf>
    <xf numFmtId="5" fontId="9" fillId="2" borderId="0" xfId="1" applyNumberFormat="1" applyFont="1" applyFill="1" applyAlignment="1">
      <alignment horizontal="centerContinuous"/>
    </xf>
    <xf numFmtId="49" fontId="11" fillId="0" borderId="0" xfId="0" applyNumberFormat="1" applyFont="1"/>
    <xf numFmtId="49" fontId="0" fillId="0" borderId="2" xfId="0" applyNumberFormat="1" applyBorder="1"/>
    <xf numFmtId="49" fontId="8" fillId="0" borderId="0" xfId="0" applyNumberFormat="1" applyFont="1"/>
    <xf numFmtId="49" fontId="0" fillId="0" borderId="0" xfId="0" applyNumberFormat="1" applyAlignment="1">
      <alignment horizontal="centerContinuous"/>
    </xf>
    <xf numFmtId="41" fontId="0" fillId="0" borderId="9" xfId="0" applyNumberFormat="1" applyBorder="1"/>
    <xf numFmtId="49" fontId="0" fillId="0" borderId="0" xfId="0" applyNumberFormat="1" applyBorder="1"/>
    <xf numFmtId="49" fontId="0" fillId="0" borderId="0" xfId="0" applyNumberFormat="1" applyBorder="1" applyAlignment="1">
      <alignment horizontal="center"/>
    </xf>
    <xf numFmtId="49" fontId="11" fillId="0" borderId="0" xfId="0" applyNumberFormat="1" applyFont="1" applyAlignment="1">
      <alignment horizontal="centerContinuous"/>
    </xf>
    <xf numFmtId="0" fontId="11" fillId="2" borderId="0" xfId="1" applyFont="1" applyFill="1" applyAlignment="1">
      <alignment horizontal="centerContinuous"/>
    </xf>
    <xf numFmtId="49" fontId="7" fillId="0" borderId="2" xfId="0" applyNumberFormat="1" applyFont="1" applyBorder="1"/>
    <xf numFmtId="49" fontId="0" fillId="0" borderId="0" xfId="0" applyNumberFormat="1" applyBorder="1" applyAlignment="1"/>
    <xf numFmtId="49" fontId="9" fillId="0" borderId="10" xfId="0" applyNumberFormat="1" applyFont="1" applyBorder="1" applyAlignment="1">
      <alignment horizontal="centerContinuous"/>
    </xf>
    <xf numFmtId="49" fontId="0" fillId="0" borderId="7" xfId="0" applyNumberFormat="1" applyBorder="1" applyAlignment="1">
      <alignment horizontal="centerContinuous"/>
    </xf>
    <xf numFmtId="41" fontId="9" fillId="0" borderId="0" xfId="0" applyNumberFormat="1" applyFont="1" applyAlignment="1">
      <alignment horizontal="right"/>
    </xf>
    <xf numFmtId="41" fontId="9" fillId="0" borderId="0" xfId="0" applyNumberFormat="1" applyFont="1"/>
    <xf numFmtId="41" fontId="13" fillId="0" borderId="0" xfId="0" applyNumberFormat="1" applyFont="1" applyAlignment="1">
      <alignment horizontal="right"/>
    </xf>
    <xf numFmtId="49" fontId="11" fillId="2" borderId="0" xfId="1" applyNumberFormat="1" applyFont="1" applyFill="1" applyAlignment="1">
      <alignment horizontal="centerContinuous"/>
    </xf>
    <xf numFmtId="49" fontId="0" fillId="0" borderId="0" xfId="0" applyNumberFormat="1" applyAlignment="1" applyProtection="1">
      <alignment horizontal="center"/>
    </xf>
    <xf numFmtId="49" fontId="0" fillId="0" borderId="2" xfId="0" applyNumberFormat="1" applyBorder="1" applyAlignment="1" applyProtection="1">
      <alignment horizontal="center"/>
    </xf>
    <xf numFmtId="0" fontId="6" fillId="0" borderId="0" xfId="2" applyFont="1"/>
    <xf numFmtId="10" fontId="9" fillId="3" borderId="10" xfId="4" applyNumberFormat="1" applyFont="1" applyFill="1" applyBorder="1" applyAlignment="1">
      <alignment horizontal="centerContinuous"/>
    </xf>
    <xf numFmtId="10" fontId="9" fillId="3" borderId="1" xfId="4" applyNumberFormat="1" applyFont="1" applyFill="1" applyBorder="1" applyAlignment="1">
      <alignment horizontal="centerContinuous"/>
    </xf>
    <xf numFmtId="10" fontId="9" fillId="3" borderId="7" xfId="4" applyNumberFormat="1" applyFont="1" applyFill="1" applyBorder="1" applyAlignment="1">
      <alignment horizontal="centerContinuous"/>
    </xf>
    <xf numFmtId="0" fontId="6" fillId="3" borderId="7" xfId="2" applyFill="1" applyBorder="1" applyAlignment="1">
      <alignment horizontal="centerContinuous"/>
    </xf>
    <xf numFmtId="0" fontId="6" fillId="4" borderId="10" xfId="2" applyFont="1" applyFill="1" applyBorder="1" applyAlignment="1"/>
    <xf numFmtId="0" fontId="9" fillId="4" borderId="7" xfId="2" applyFont="1" applyFill="1" applyBorder="1" applyAlignment="1">
      <alignment horizontal="right"/>
    </xf>
    <xf numFmtId="0" fontId="9" fillId="5" borderId="5" xfId="2" applyFont="1" applyFill="1" applyBorder="1" applyAlignment="1">
      <alignment horizontal="center"/>
    </xf>
    <xf numFmtId="0" fontId="6" fillId="6" borderId="11" xfId="3" applyFont="1" applyFill="1" applyBorder="1"/>
    <xf numFmtId="0" fontId="9" fillId="6" borderId="1" xfId="3" applyFont="1" applyFill="1" applyBorder="1" applyAlignment="1">
      <alignment horizontal="centerContinuous"/>
    </xf>
    <xf numFmtId="0" fontId="6" fillId="6" borderId="12" xfId="3" applyFont="1" applyFill="1" applyBorder="1"/>
    <xf numFmtId="0" fontId="9" fillId="6" borderId="7" xfId="3" applyFont="1" applyFill="1" applyBorder="1" applyAlignment="1">
      <alignment horizontal="centerContinuous"/>
    </xf>
    <xf numFmtId="0" fontId="6" fillId="0" borderId="0" xfId="2" applyFont="1" applyBorder="1"/>
    <xf numFmtId="0" fontId="6" fillId="0" borderId="0" xfId="2" applyFont="1" applyAlignment="1">
      <alignment horizontal="left"/>
    </xf>
    <xf numFmtId="10" fontId="9" fillId="7" borderId="5" xfId="4" applyNumberFormat="1" applyFont="1" applyFill="1" applyBorder="1" applyAlignment="1">
      <alignment horizontal="right"/>
    </xf>
    <xf numFmtId="0" fontId="9" fillId="7" borderId="5" xfId="2" applyFont="1" applyFill="1" applyBorder="1" applyAlignment="1">
      <alignment horizontal="center"/>
    </xf>
    <xf numFmtId="10" fontId="9" fillId="8" borderId="5" xfId="4" applyNumberFormat="1" applyFont="1" applyFill="1" applyBorder="1"/>
    <xf numFmtId="0" fontId="6" fillId="4" borderId="13" xfId="2" applyFont="1" applyFill="1" applyBorder="1"/>
    <xf numFmtId="0" fontId="9" fillId="4" borderId="4" xfId="2" applyFont="1" applyFill="1" applyBorder="1" applyAlignment="1">
      <alignment horizontal="right"/>
    </xf>
    <xf numFmtId="10" fontId="9" fillId="5" borderId="5" xfId="4" applyNumberFormat="1" applyFont="1" applyFill="1" applyBorder="1"/>
    <xf numFmtId="0" fontId="6" fillId="6" borderId="14" xfId="3" applyFont="1" applyFill="1" applyBorder="1"/>
    <xf numFmtId="0" fontId="6" fillId="6" borderId="2" xfId="3" applyFont="1" applyFill="1" applyBorder="1" applyAlignment="1">
      <alignment horizontal="center"/>
    </xf>
    <xf numFmtId="0" fontId="6" fillId="6" borderId="0" xfId="3" applyFont="1" applyFill="1" applyBorder="1"/>
    <xf numFmtId="0" fontId="6" fillId="6" borderId="4" xfId="3" applyFont="1" applyFill="1" applyBorder="1" applyAlignment="1">
      <alignment horizontal="center"/>
    </xf>
    <xf numFmtId="0" fontId="9" fillId="0" borderId="0" xfId="2" applyFont="1"/>
    <xf numFmtId="0" fontId="6" fillId="6" borderId="14" xfId="3" applyFont="1" applyFill="1" applyBorder="1" applyAlignment="1">
      <alignment horizontal="center"/>
    </xf>
    <xf numFmtId="41" fontId="6" fillId="6" borderId="0" xfId="3" applyNumberFormat="1" applyFont="1" applyFill="1" applyBorder="1" applyAlignment="1">
      <alignment horizontal="left"/>
    </xf>
    <xf numFmtId="0" fontId="6" fillId="6" borderId="0" xfId="3" applyFont="1" applyFill="1" applyBorder="1" applyAlignment="1">
      <alignment horizontal="center"/>
    </xf>
    <xf numFmtId="164" fontId="6" fillId="6" borderId="0" xfId="3" applyNumberFormat="1" applyFont="1" applyFill="1" applyBorder="1" applyAlignment="1">
      <alignment horizontal="left"/>
    </xf>
    <xf numFmtId="164" fontId="6" fillId="6" borderId="3" xfId="3" applyNumberFormat="1" applyFont="1" applyFill="1" applyBorder="1" applyAlignment="1">
      <alignment horizontal="left"/>
    </xf>
    <xf numFmtId="164" fontId="6" fillId="6" borderId="0" xfId="3" applyNumberFormat="1" applyFont="1" applyFill="1" applyBorder="1"/>
    <xf numFmtId="164" fontId="6" fillId="6" borderId="3" xfId="3" applyNumberFormat="1" applyFont="1" applyFill="1" applyBorder="1"/>
    <xf numFmtId="0" fontId="9" fillId="0" borderId="0" xfId="2" applyFont="1" applyFill="1"/>
    <xf numFmtId="0" fontId="9" fillId="7" borderId="5" xfId="2" applyFont="1" applyFill="1" applyBorder="1" applyAlignment="1">
      <alignment horizontal="right"/>
    </xf>
    <xf numFmtId="0" fontId="6" fillId="0" borderId="0" xfId="2" applyFont="1" applyFill="1"/>
    <xf numFmtId="0" fontId="9" fillId="0" borderId="0" xfId="2" applyFont="1" applyFill="1" applyBorder="1" applyAlignment="1">
      <alignment horizontal="right"/>
    </xf>
    <xf numFmtId="10" fontId="9" fillId="0" borderId="0" xfId="4" applyNumberFormat="1" applyFont="1" applyFill="1" applyBorder="1"/>
    <xf numFmtId="10" fontId="9" fillId="6" borderId="15" xfId="4" applyNumberFormat="1" applyFont="1" applyFill="1" applyBorder="1"/>
    <xf numFmtId="10" fontId="9" fillId="9" borderId="5" xfId="4" applyNumberFormat="1" applyFont="1" applyFill="1" applyBorder="1"/>
    <xf numFmtId="0" fontId="6" fillId="6" borderId="2" xfId="3" applyFont="1" applyFill="1" applyBorder="1"/>
    <xf numFmtId="0" fontId="6" fillId="6" borderId="4" xfId="3" applyFont="1" applyFill="1" applyBorder="1"/>
    <xf numFmtId="0" fontId="6" fillId="0" borderId="0" xfId="2" applyFont="1" applyFill="1" applyBorder="1"/>
    <xf numFmtId="10" fontId="9" fillId="10" borderId="5" xfId="4" applyNumberFormat="1" applyFont="1" applyFill="1" applyBorder="1" applyAlignment="1">
      <alignment horizontal="right"/>
    </xf>
    <xf numFmtId="0" fontId="9" fillId="10" borderId="5" xfId="2" applyFont="1" applyFill="1" applyBorder="1" applyAlignment="1">
      <alignment horizontal="center"/>
    </xf>
    <xf numFmtId="10" fontId="9" fillId="11" borderId="5" xfId="4" applyNumberFormat="1" applyFont="1" applyFill="1" applyBorder="1"/>
    <xf numFmtId="10" fontId="9" fillId="0" borderId="0" xfId="4" applyNumberFormat="1" applyFont="1" applyFill="1" applyBorder="1" applyAlignment="1">
      <alignment horizontal="left"/>
    </xf>
    <xf numFmtId="0" fontId="9" fillId="10" borderId="5" xfId="2" applyFont="1" applyFill="1" applyBorder="1" applyAlignment="1">
      <alignment horizontal="right"/>
    </xf>
    <xf numFmtId="0" fontId="9" fillId="0" borderId="0" xfId="2" applyFont="1" applyFill="1" applyBorder="1" applyAlignment="1">
      <alignment horizontal="center"/>
    </xf>
    <xf numFmtId="49" fontId="11" fillId="0" borderId="0" xfId="0" applyNumberFormat="1" applyFont="1" applyAlignment="1" applyProtection="1">
      <alignment horizontal="left"/>
    </xf>
    <xf numFmtId="0" fontId="6" fillId="0" borderId="0" xfId="2" applyFont="1" applyAlignment="1">
      <alignment horizontal="center"/>
    </xf>
    <xf numFmtId="0" fontId="11" fillId="0" borderId="0" xfId="0" applyFont="1" applyAlignment="1" applyProtection="1">
      <alignment horizontal="left"/>
    </xf>
    <xf numFmtId="10" fontId="9" fillId="0" borderId="0" xfId="4" applyNumberFormat="1" applyFont="1" applyFill="1" applyBorder="1" applyAlignment="1"/>
    <xf numFmtId="0" fontId="9" fillId="0" borderId="12" xfId="2" applyFont="1" applyBorder="1" applyAlignment="1">
      <alignment horizontal="center"/>
    </xf>
    <xf numFmtId="0" fontId="9" fillId="0" borderId="16" xfId="2" applyFont="1" applyBorder="1" applyAlignment="1">
      <alignment horizontal="center"/>
    </xf>
    <xf numFmtId="0" fontId="9" fillId="0" borderId="17" xfId="2" applyFont="1" applyBorder="1" applyAlignment="1">
      <alignment horizontal="center"/>
    </xf>
    <xf numFmtId="0" fontId="9" fillId="0" borderId="2" xfId="2" applyFont="1" applyBorder="1" applyAlignment="1">
      <alignment horizontal="center"/>
    </xf>
    <xf numFmtId="0" fontId="9" fillId="0" borderId="15" xfId="2" applyFont="1" applyBorder="1" applyAlignment="1">
      <alignment horizontal="center"/>
    </xf>
    <xf numFmtId="0" fontId="9" fillId="0" borderId="2" xfId="2" applyFont="1" applyBorder="1" applyAlignment="1">
      <alignment horizontal="centerContinuous"/>
    </xf>
    <xf numFmtId="0" fontId="9" fillId="0" borderId="4" xfId="2" applyFont="1" applyBorder="1" applyAlignment="1">
      <alignment horizontal="centerContinuous"/>
    </xf>
    <xf numFmtId="0" fontId="9" fillId="0" borderId="4" xfId="2" applyFont="1" applyBorder="1" applyAlignment="1">
      <alignment horizontal="center"/>
    </xf>
    <xf numFmtId="0" fontId="6" fillId="0" borderId="0" xfId="2"/>
    <xf numFmtId="16" fontId="6" fillId="0" borderId="0" xfId="2" applyNumberFormat="1" applyFont="1" applyAlignment="1">
      <alignment horizontal="center"/>
    </xf>
    <xf numFmtId="49" fontId="6" fillId="0" borderId="0" xfId="2" applyNumberFormat="1" applyFont="1" applyAlignment="1">
      <alignment horizontal="center"/>
    </xf>
    <xf numFmtId="165" fontId="6" fillId="0" borderId="0" xfId="2" applyNumberFormat="1" applyFont="1" applyAlignment="1"/>
    <xf numFmtId="43" fontId="6" fillId="0" borderId="0" xfId="2" applyNumberFormat="1" applyFont="1"/>
    <xf numFmtId="41" fontId="6" fillId="0" borderId="0" xfId="2" applyNumberFormat="1" applyFont="1"/>
    <xf numFmtId="41" fontId="6" fillId="0" borderId="8" xfId="2" applyNumberFormat="1" applyFont="1" applyBorder="1"/>
    <xf numFmtId="0" fontId="6" fillId="7" borderId="16" xfId="2" applyFont="1" applyFill="1" applyBorder="1" applyAlignment="1">
      <alignment horizontal="center"/>
    </xf>
    <xf numFmtId="0" fontId="6" fillId="0" borderId="3" xfId="2" applyFont="1" applyBorder="1"/>
    <xf numFmtId="0" fontId="6" fillId="0" borderId="8" xfId="2" applyFont="1" applyBorder="1"/>
    <xf numFmtId="0" fontId="6" fillId="6" borderId="16" xfId="2" applyFont="1" applyFill="1" applyBorder="1"/>
    <xf numFmtId="41" fontId="6" fillId="0" borderId="0" xfId="2" applyNumberFormat="1" applyFont="1" applyBorder="1"/>
    <xf numFmtId="43" fontId="6" fillId="0" borderId="3" xfId="2" applyNumberFormat="1" applyFont="1" applyBorder="1"/>
    <xf numFmtId="0" fontId="6" fillId="0" borderId="2" xfId="2" applyFont="1" applyBorder="1"/>
    <xf numFmtId="16" fontId="6" fillId="0" borderId="2" xfId="2" applyNumberFormat="1" applyFont="1" applyBorder="1" applyAlignment="1">
      <alignment horizontal="center"/>
    </xf>
    <xf numFmtId="49" fontId="6" fillId="0" borderId="2" xfId="2" applyNumberFormat="1" applyFont="1" applyBorder="1" applyAlignment="1">
      <alignment horizontal="center"/>
    </xf>
    <xf numFmtId="165" fontId="6" fillId="0" borderId="2" xfId="2" applyNumberFormat="1" applyFont="1" applyBorder="1" applyAlignment="1"/>
    <xf numFmtId="43" fontId="6" fillId="0" borderId="2" xfId="2" applyNumberFormat="1" applyFont="1" applyBorder="1"/>
    <xf numFmtId="41" fontId="6" fillId="0" borderId="4" xfId="2" applyNumberFormat="1" applyFont="1" applyBorder="1"/>
    <xf numFmtId="41" fontId="6" fillId="0" borderId="15" xfId="2" applyNumberFormat="1" applyFont="1" applyBorder="1"/>
    <xf numFmtId="41" fontId="6" fillId="7" borderId="15" xfId="2" applyNumberFormat="1" applyFont="1" applyFill="1" applyBorder="1" applyAlignment="1">
      <alignment horizontal="center"/>
    </xf>
    <xf numFmtId="41" fontId="6" fillId="6" borderId="15" xfId="2" applyNumberFormat="1" applyFont="1" applyFill="1" applyBorder="1" applyAlignment="1">
      <alignment horizontal="center"/>
    </xf>
    <xf numFmtId="41" fontId="6" fillId="0" borderId="2" xfId="5" applyNumberFormat="1" applyFont="1" applyBorder="1"/>
    <xf numFmtId="41" fontId="6" fillId="0" borderId="0" xfId="2" applyNumberFormat="1" applyFont="1" applyFill="1" applyBorder="1"/>
    <xf numFmtId="16" fontId="6" fillId="0" borderId="12" xfId="2" applyNumberFormat="1" applyFont="1" applyBorder="1" applyAlignment="1">
      <alignment horizontal="center"/>
    </xf>
    <xf numFmtId="49" fontId="6" fillId="0" borderId="0" xfId="2" applyNumberFormat="1" applyAlignment="1">
      <alignment horizontal="center"/>
    </xf>
    <xf numFmtId="41" fontId="6" fillId="0" borderId="17" xfId="2" applyNumberFormat="1" applyFont="1" applyBorder="1"/>
    <xf numFmtId="0" fontId="6" fillId="7" borderId="8" xfId="2" applyFont="1" applyFill="1" applyBorder="1" applyAlignment="1">
      <alignment horizontal="center"/>
    </xf>
    <xf numFmtId="0" fontId="6" fillId="6" borderId="8" xfId="2" applyFont="1" applyFill="1" applyBorder="1"/>
    <xf numFmtId="41" fontId="6" fillId="0" borderId="2" xfId="2" applyNumberFormat="1" applyFont="1" applyBorder="1"/>
    <xf numFmtId="0" fontId="6" fillId="0" borderId="12" xfId="2" applyFont="1" applyBorder="1"/>
    <xf numFmtId="16" fontId="6" fillId="0" borderId="12" xfId="2" applyNumberFormat="1" applyFont="1" applyBorder="1"/>
    <xf numFmtId="166" fontId="6" fillId="0" borderId="12" xfId="2" applyNumberFormat="1" applyFont="1" applyBorder="1"/>
    <xf numFmtId="43" fontId="6" fillId="0" borderId="12" xfId="2" applyNumberFormat="1" applyFont="1" applyBorder="1"/>
    <xf numFmtId="41" fontId="6" fillId="0" borderId="12" xfId="2" applyNumberFormat="1" applyFont="1" applyBorder="1"/>
    <xf numFmtId="41" fontId="6" fillId="0" borderId="5" xfId="2" applyNumberFormat="1" applyFont="1" applyBorder="1"/>
    <xf numFmtId="41" fontId="6" fillId="0" borderId="1" xfId="2" applyNumberFormat="1" applyFont="1" applyBorder="1" applyAlignment="1">
      <alignment horizontal="center"/>
    </xf>
    <xf numFmtId="41" fontId="6" fillId="0" borderId="7" xfId="2" applyNumberFormat="1" applyFont="1" applyBorder="1"/>
    <xf numFmtId="41" fontId="6" fillId="0" borderId="1" xfId="2" applyNumberFormat="1" applyFont="1" applyBorder="1"/>
    <xf numFmtId="41" fontId="6" fillId="0" borderId="1" xfId="5" applyNumberFormat="1" applyFont="1" applyBorder="1"/>
    <xf numFmtId="0" fontId="9" fillId="0" borderId="2" xfId="2" applyFont="1" applyBorder="1" applyAlignment="1">
      <alignment horizontal="right"/>
    </xf>
    <xf numFmtId="43" fontId="9" fillId="0" borderId="2" xfId="6" applyFont="1" applyBorder="1" applyAlignment="1"/>
    <xf numFmtId="37" fontId="9" fillId="0" borderId="2" xfId="2" applyNumberFormat="1" applyFont="1" applyBorder="1"/>
    <xf numFmtId="0" fontId="9" fillId="0" borderId="2" xfId="2" applyFont="1" applyBorder="1"/>
    <xf numFmtId="41" fontId="9" fillId="0" borderId="4" xfId="2" applyNumberFormat="1" applyFont="1" applyBorder="1"/>
    <xf numFmtId="41" fontId="9" fillId="0" borderId="15" xfId="2" applyNumberFormat="1" applyFont="1" applyBorder="1"/>
    <xf numFmtId="41" fontId="9" fillId="0" borderId="2" xfId="2" applyNumberFormat="1" applyFont="1" applyBorder="1" applyAlignment="1">
      <alignment horizontal="center"/>
    </xf>
    <xf numFmtId="41" fontId="9" fillId="0" borderId="2" xfId="2" applyNumberFormat="1" applyFont="1" applyBorder="1"/>
    <xf numFmtId="0" fontId="6" fillId="0" borderId="0" xfId="2" applyFont="1" applyAlignment="1">
      <alignment horizontal="right"/>
    </xf>
    <xf numFmtId="41" fontId="6" fillId="0" borderId="0" xfId="2" applyNumberFormat="1" applyFont="1" applyBorder="1" applyAlignment="1">
      <alignment horizontal="center"/>
    </xf>
    <xf numFmtId="41" fontId="6" fillId="0" borderId="3" xfId="2" applyNumberFormat="1" applyFont="1" applyBorder="1"/>
    <xf numFmtId="41" fontId="6" fillId="12" borderId="5" xfId="2" applyNumberFormat="1" applyFont="1" applyFill="1" applyBorder="1"/>
    <xf numFmtId="41" fontId="6" fillId="0" borderId="0" xfId="7" applyNumberFormat="1" applyFont="1"/>
    <xf numFmtId="41" fontId="6" fillId="0" borderId="0" xfId="6" applyNumberFormat="1" applyFont="1" applyBorder="1"/>
    <xf numFmtId="0" fontId="6" fillId="0" borderId="4" xfId="2" applyFont="1" applyBorder="1"/>
    <xf numFmtId="41" fontId="9" fillId="0" borderId="1" xfId="2" applyNumberFormat="1" applyFont="1" applyBorder="1" applyAlignment="1">
      <alignment horizontal="center"/>
    </xf>
    <xf numFmtId="41" fontId="9" fillId="0" borderId="1" xfId="2" applyNumberFormat="1" applyFont="1" applyBorder="1"/>
    <xf numFmtId="0" fontId="6" fillId="0" borderId="0" xfId="2" applyFont="1" applyBorder="1" applyAlignment="1">
      <alignment horizontal="center"/>
    </xf>
    <xf numFmtId="0" fontId="9" fillId="0" borderId="1" xfId="2" applyFont="1" applyBorder="1"/>
    <xf numFmtId="0" fontId="6" fillId="0" borderId="1" xfId="2" applyFont="1" applyBorder="1"/>
    <xf numFmtId="0" fontId="6" fillId="0" borderId="0" xfId="0" applyFont="1"/>
    <xf numFmtId="0" fontId="6" fillId="0" borderId="0" xfId="0" applyFont="1" applyBorder="1"/>
    <xf numFmtId="0" fontId="6" fillId="0" borderId="0" xfId="0" applyFont="1" applyAlignment="1">
      <alignment horizontal="left"/>
    </xf>
    <xf numFmtId="0" fontId="6" fillId="0" borderId="0" xfId="0" applyFont="1" applyFill="1"/>
    <xf numFmtId="0" fontId="6" fillId="0" borderId="0" xfId="0" applyFont="1" applyFill="1" applyBorder="1"/>
    <xf numFmtId="0" fontId="9" fillId="0" borderId="0" xfId="0" applyFont="1" applyFill="1"/>
    <xf numFmtId="0" fontId="9" fillId="0" borderId="0" xfId="0" applyFont="1" applyFill="1" applyBorder="1" applyAlignment="1">
      <alignment horizontal="right"/>
    </xf>
    <xf numFmtId="0" fontId="9" fillId="0" borderId="0" xfId="0" applyFont="1" applyFill="1" applyBorder="1" applyAlignment="1">
      <alignment horizontal="center"/>
    </xf>
    <xf numFmtId="0" fontId="6" fillId="0" borderId="0" xfId="0" applyFont="1" applyAlignment="1">
      <alignment horizontal="center"/>
    </xf>
    <xf numFmtId="0" fontId="11" fillId="0" borderId="0" xfId="0" applyFont="1" applyAlignment="1">
      <alignment horizontal="left"/>
    </xf>
    <xf numFmtId="0" fontId="9" fillId="0" borderId="12"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2" xfId="0" applyFont="1" applyBorder="1" applyAlignment="1">
      <alignment horizontal="center"/>
    </xf>
    <xf numFmtId="0" fontId="9" fillId="0" borderId="15" xfId="0" applyFont="1" applyBorder="1" applyAlignment="1">
      <alignment horizontal="center"/>
    </xf>
    <xf numFmtId="0" fontId="9" fillId="0" borderId="2" xfId="0" applyFont="1" applyBorder="1" applyAlignment="1">
      <alignment horizontal="centerContinuous"/>
    </xf>
    <xf numFmtId="0" fontId="9" fillId="0" borderId="4" xfId="0" applyFont="1" applyBorder="1" applyAlignment="1">
      <alignment horizontal="centerContinuous"/>
    </xf>
    <xf numFmtId="0" fontId="9" fillId="0" borderId="4" xfId="0" applyFont="1" applyBorder="1" applyAlignment="1">
      <alignment horizontal="center"/>
    </xf>
    <xf numFmtId="0" fontId="0" fillId="0" borderId="0" xfId="0" applyFont="1"/>
    <xf numFmtId="16" fontId="0" fillId="0" borderId="0" xfId="0" applyNumberFormat="1" applyFont="1"/>
    <xf numFmtId="49" fontId="0" fillId="0" borderId="0" xfId="0" applyNumberFormat="1" applyFont="1" applyAlignment="1">
      <alignment horizontal="center"/>
    </xf>
    <xf numFmtId="165" fontId="0" fillId="0" borderId="0" xfId="0" applyNumberFormat="1" applyFont="1" applyAlignment="1"/>
    <xf numFmtId="43" fontId="0" fillId="0" borderId="0" xfId="0" applyNumberFormat="1" applyFont="1"/>
    <xf numFmtId="41" fontId="6" fillId="0" borderId="0" xfId="0" applyNumberFormat="1" applyFont="1"/>
    <xf numFmtId="41" fontId="6" fillId="0" borderId="8" xfId="0" applyNumberFormat="1" applyFont="1" applyBorder="1"/>
    <xf numFmtId="0" fontId="6" fillId="7" borderId="16" xfId="0" applyFont="1" applyFill="1" applyBorder="1" applyAlignment="1">
      <alignment horizontal="center"/>
    </xf>
    <xf numFmtId="0" fontId="6" fillId="0" borderId="3" xfId="0" applyFont="1" applyBorder="1"/>
    <xf numFmtId="0" fontId="6" fillId="0" borderId="8" xfId="0" applyFont="1" applyBorder="1"/>
    <xf numFmtId="0" fontId="6" fillId="13" borderId="16" xfId="0" applyFont="1" applyFill="1" applyBorder="1"/>
    <xf numFmtId="41" fontId="0" fillId="0" borderId="0" xfId="0" applyNumberFormat="1" applyFont="1" applyBorder="1"/>
    <xf numFmtId="43" fontId="6" fillId="0" borderId="3" xfId="0" applyNumberFormat="1" applyFont="1" applyBorder="1"/>
    <xf numFmtId="0" fontId="0" fillId="0" borderId="2" xfId="0" applyFont="1" applyBorder="1"/>
    <xf numFmtId="16" fontId="0" fillId="0" borderId="2" xfId="0" applyNumberFormat="1" applyFont="1" applyBorder="1"/>
    <xf numFmtId="49" fontId="0" fillId="0" borderId="2" xfId="0" applyNumberFormat="1" applyFont="1" applyBorder="1" applyAlignment="1">
      <alignment horizontal="center"/>
    </xf>
    <xf numFmtId="165" fontId="0" fillId="0" borderId="2" xfId="0" applyNumberFormat="1" applyFont="1" applyBorder="1" applyAlignment="1"/>
    <xf numFmtId="43" fontId="0" fillId="0" borderId="2" xfId="0" applyNumberFormat="1" applyFont="1" applyBorder="1"/>
    <xf numFmtId="41" fontId="6" fillId="0" borderId="4" xfId="0" applyNumberFormat="1" applyFont="1" applyBorder="1"/>
    <xf numFmtId="41" fontId="6" fillId="0" borderId="15" xfId="0" applyNumberFormat="1" applyFont="1" applyBorder="1"/>
    <xf numFmtId="41" fontId="6" fillId="7" borderId="15" xfId="0" applyNumberFormat="1" applyFont="1" applyFill="1" applyBorder="1" applyAlignment="1">
      <alignment horizontal="center"/>
    </xf>
    <xf numFmtId="41" fontId="6" fillId="13" borderId="15" xfId="0" applyNumberFormat="1" applyFont="1" applyFill="1" applyBorder="1" applyAlignment="1">
      <alignment horizontal="center"/>
    </xf>
    <xf numFmtId="41" fontId="6" fillId="0" borderId="0" xfId="0" applyNumberFormat="1" applyFont="1" applyFill="1" applyBorder="1"/>
    <xf numFmtId="16" fontId="0" fillId="0" borderId="12" xfId="0" applyNumberFormat="1" applyFont="1" applyBorder="1"/>
    <xf numFmtId="49" fontId="0" fillId="0" borderId="0" xfId="0" applyNumberFormat="1" applyAlignment="1">
      <alignment horizontal="center"/>
    </xf>
    <xf numFmtId="41" fontId="6" fillId="0" borderId="17" xfId="0" applyNumberFormat="1" applyFont="1" applyBorder="1"/>
    <xf numFmtId="0" fontId="6" fillId="7" borderId="8" xfId="0" applyFont="1" applyFill="1" applyBorder="1" applyAlignment="1">
      <alignment horizontal="center"/>
    </xf>
    <xf numFmtId="0" fontId="6" fillId="13" borderId="8" xfId="0" applyFont="1" applyFill="1" applyBorder="1"/>
    <xf numFmtId="41" fontId="6" fillId="0" borderId="0" xfId="0" applyNumberFormat="1" applyFont="1" applyBorder="1"/>
    <xf numFmtId="41" fontId="6" fillId="0" borderId="2" xfId="0" applyNumberFormat="1" applyFont="1" applyBorder="1"/>
    <xf numFmtId="41" fontId="6" fillId="0" borderId="3" xfId="0" applyNumberFormat="1" applyFont="1" applyBorder="1"/>
    <xf numFmtId="0" fontId="9" fillId="0" borderId="1" xfId="0" applyFont="1" applyBorder="1"/>
    <xf numFmtId="0" fontId="6" fillId="0" borderId="1" xfId="0" applyFont="1" applyBorder="1"/>
    <xf numFmtId="41" fontId="9" fillId="0" borderId="5" xfId="0" applyNumberFormat="1" applyFont="1" applyBorder="1"/>
    <xf numFmtId="41" fontId="9" fillId="0" borderId="7" xfId="0" applyNumberFormat="1" applyFont="1" applyBorder="1"/>
    <xf numFmtId="49" fontId="14" fillId="0" borderId="0" xfId="1" applyNumberFormat="1" applyFont="1" applyFill="1" applyAlignment="1">
      <alignment horizontal="centerContinuous"/>
    </xf>
    <xf numFmtId="0" fontId="15" fillId="0" borderId="0" xfId="1" applyFont="1" applyFill="1" applyAlignment="1">
      <alignment horizontal="centerContinuous"/>
    </xf>
    <xf numFmtId="0" fontId="6" fillId="0" borderId="0" xfId="1" applyFill="1"/>
    <xf numFmtId="0" fontId="6" fillId="0" borderId="0" xfId="1" applyFont="1" applyFill="1" applyAlignment="1">
      <alignment horizontal="center"/>
    </xf>
    <xf numFmtId="0" fontId="6" fillId="0" borderId="0" xfId="1" applyFill="1" applyBorder="1"/>
    <xf numFmtId="0" fontId="9" fillId="0" borderId="2" xfId="1" applyFont="1" applyFill="1" applyBorder="1"/>
    <xf numFmtId="0" fontId="14" fillId="0" borderId="2" xfId="1" applyFont="1" applyFill="1" applyBorder="1"/>
    <xf numFmtId="0" fontId="6" fillId="0" borderId="0" xfId="1" applyFill="1" applyAlignment="1">
      <alignment horizontal="centerContinuous"/>
    </xf>
    <xf numFmtId="0" fontId="14" fillId="0" borderId="0" xfId="1" applyFont="1" applyFill="1" applyBorder="1"/>
    <xf numFmtId="0" fontId="6" fillId="0" borderId="0" xfId="1" applyFill="1" applyAlignment="1">
      <alignment horizontal="right"/>
    </xf>
    <xf numFmtId="0" fontId="6" fillId="0" borderId="0" xfId="1" applyFont="1" applyFill="1" applyAlignment="1">
      <alignment horizontal="centerContinuous"/>
    </xf>
    <xf numFmtId="0" fontId="6" fillId="0" borderId="0" xfId="1" applyFill="1" applyAlignment="1">
      <alignment horizontal="center"/>
    </xf>
    <xf numFmtId="0" fontId="6" fillId="0" borderId="11" xfId="1" applyFont="1" applyFill="1" applyBorder="1"/>
    <xf numFmtId="0" fontId="6" fillId="0" borderId="17" xfId="1" applyFill="1" applyBorder="1"/>
    <xf numFmtId="0" fontId="6" fillId="0" borderId="12" xfId="1" applyFill="1" applyBorder="1"/>
    <xf numFmtId="3" fontId="16" fillId="0" borderId="17" xfId="1" applyNumberFormat="1" applyFont="1" applyFill="1" applyBorder="1"/>
    <xf numFmtId="0" fontId="6" fillId="0" borderId="17" xfId="1" applyFont="1" applyFill="1" applyBorder="1"/>
    <xf numFmtId="0" fontId="6" fillId="0" borderId="14" xfId="1" applyFill="1" applyBorder="1"/>
    <xf numFmtId="0" fontId="6" fillId="0" borderId="3" xfId="1" applyFill="1" applyBorder="1"/>
    <xf numFmtId="3" fontId="16" fillId="0" borderId="3" xfId="1" applyNumberFormat="1" applyFont="1" applyFill="1" applyBorder="1"/>
    <xf numFmtId="0" fontId="6" fillId="0" borderId="14" xfId="1" applyFont="1" applyFill="1" applyBorder="1"/>
    <xf numFmtId="0" fontId="6" fillId="0" borderId="3" xfId="1" applyFont="1" applyFill="1" applyBorder="1"/>
    <xf numFmtId="3" fontId="16" fillId="0" borderId="4" xfId="1" applyNumberFormat="1" applyFont="1" applyFill="1" applyBorder="1"/>
    <xf numFmtId="0" fontId="6" fillId="0" borderId="13" xfId="1" applyFill="1" applyBorder="1"/>
    <xf numFmtId="0" fontId="6" fillId="0" borderId="4" xfId="1" applyFill="1" applyBorder="1"/>
    <xf numFmtId="0" fontId="6" fillId="0" borderId="1" xfId="1" applyFill="1" applyBorder="1"/>
    <xf numFmtId="0" fontId="6" fillId="0" borderId="2" xfId="1" applyFill="1" applyBorder="1"/>
    <xf numFmtId="0" fontId="16" fillId="0" borderId="11" xfId="1" applyFont="1" applyFill="1" applyBorder="1"/>
    <xf numFmtId="0" fontId="6" fillId="0" borderId="0" xfId="1" applyFill="1" applyProtection="1">
      <protection hidden="1"/>
    </xf>
    <xf numFmtId="0" fontId="6" fillId="0" borderId="0" xfId="1" applyFill="1" applyBorder="1" applyAlignment="1">
      <alignment horizontal="centerContinuous"/>
    </xf>
    <xf numFmtId="0" fontId="6" fillId="0" borderId="0" xfId="1" applyFill="1" applyBorder="1" applyAlignment="1" applyProtection="1">
      <alignment horizontal="right"/>
      <protection locked="0"/>
    </xf>
    <xf numFmtId="0" fontId="6" fillId="0" borderId="0" xfId="1" applyFill="1" applyBorder="1" applyAlignment="1">
      <alignment horizontal="right"/>
    </xf>
    <xf numFmtId="0" fontId="6" fillId="0" borderId="11" xfId="1" applyFill="1" applyBorder="1"/>
    <xf numFmtId="49" fontId="9" fillId="0" borderId="2" xfId="1" applyNumberFormat="1" applyFont="1" applyFill="1" applyBorder="1"/>
    <xf numFmtId="49" fontId="6" fillId="0" borderId="0" xfId="0" applyNumberFormat="1" applyFont="1"/>
    <xf numFmtId="49" fontId="6" fillId="0" borderId="0" xfId="0" applyNumberFormat="1" applyFont="1" applyAlignment="1">
      <alignment horizontal="centerContinuous"/>
    </xf>
    <xf numFmtId="49" fontId="6" fillId="0" borderId="0" xfId="0" applyNumberFormat="1" applyFont="1" applyAlignment="1" applyProtection="1">
      <alignment horizontal="center"/>
    </xf>
    <xf numFmtId="49" fontId="6" fillId="0" borderId="2" xfId="0" applyNumberFormat="1" applyFont="1" applyBorder="1" applyAlignment="1" applyProtection="1">
      <alignment horizontal="center"/>
    </xf>
    <xf numFmtId="0" fontId="0" fillId="0" borderId="0" xfId="0"/>
    <xf numFmtId="0" fontId="6" fillId="0" borderId="0" xfId="2" applyFont="1"/>
    <xf numFmtId="0" fontId="6" fillId="0" borderId="2" xfId="2" applyFont="1" applyBorder="1"/>
    <xf numFmtId="0" fontId="6" fillId="0" borderId="0" xfId="2" applyFont="1" applyAlignment="1">
      <alignment horizontal="right"/>
    </xf>
    <xf numFmtId="0" fontId="6" fillId="0" borderId="0" xfId="0" applyFont="1"/>
    <xf numFmtId="41" fontId="6" fillId="0" borderId="0" xfId="9" applyNumberFormat="1" applyFont="1"/>
    <xf numFmtId="0" fontId="6" fillId="0" borderId="0" xfId="0" applyFont="1" applyAlignment="1">
      <alignment horizontal="right"/>
    </xf>
    <xf numFmtId="41" fontId="6" fillId="0" borderId="4" xfId="2" applyNumberFormat="1" applyFont="1" applyBorder="1"/>
    <xf numFmtId="0" fontId="6" fillId="0" borderId="0" xfId="2" applyFont="1"/>
    <xf numFmtId="0" fontId="9" fillId="0" borderId="0" xfId="0" applyFont="1"/>
    <xf numFmtId="0" fontId="6" fillId="14" borderId="0" xfId="2" applyFill="1"/>
    <xf numFmtId="41" fontId="6" fillId="15" borderId="8" xfId="0" applyNumberFormat="1" applyFont="1" applyFill="1" applyBorder="1" applyAlignment="1">
      <alignment horizontal="center"/>
    </xf>
    <xf numFmtId="0" fontId="6" fillId="0" borderId="0" xfId="0" applyFont="1"/>
    <xf numFmtId="41" fontId="6" fillId="7" borderId="15" xfId="0" applyNumberFormat="1" applyFont="1" applyFill="1" applyBorder="1" applyAlignment="1">
      <alignment horizontal="center"/>
    </xf>
    <xf numFmtId="41" fontId="9" fillId="0" borderId="5" xfId="0" applyNumberFormat="1" applyFont="1" applyBorder="1"/>
    <xf numFmtId="41" fontId="9" fillId="0" borderId="7" xfId="0" applyNumberFormat="1" applyFont="1" applyBorder="1"/>
    <xf numFmtId="41" fontId="9" fillId="0" borderId="5" xfId="0" applyNumberFormat="1" applyFont="1" applyBorder="1" applyAlignment="1">
      <alignment horizontal="center"/>
    </xf>
    <xf numFmtId="41" fontId="6" fillId="16" borderId="15" xfId="0" applyNumberFormat="1" applyFont="1" applyFill="1" applyBorder="1" applyAlignment="1">
      <alignment horizontal="center"/>
    </xf>
    <xf numFmtId="41" fontId="6" fillId="16" borderId="16" xfId="6" applyNumberFormat="1" applyFont="1" applyFill="1" applyBorder="1"/>
    <xf numFmtId="0" fontId="6" fillId="16" borderId="8" xfId="2" applyFont="1" applyFill="1" applyBorder="1"/>
    <xf numFmtId="41" fontId="6" fillId="16" borderId="15" xfId="2" applyNumberFormat="1" applyFont="1" applyFill="1" applyBorder="1" applyAlignment="1">
      <alignment horizontal="center"/>
    </xf>
    <xf numFmtId="41" fontId="9" fillId="0" borderId="3" xfId="0" applyNumberFormat="1" applyFont="1" applyBorder="1" applyAlignment="1">
      <alignment horizontal="center"/>
    </xf>
    <xf numFmtId="41" fontId="9" fillId="0" borderId="0" xfId="0" applyNumberFormat="1" applyFont="1" applyAlignment="1">
      <alignment horizontal="center"/>
    </xf>
    <xf numFmtId="41" fontId="13" fillId="0" borderId="0" xfId="0" applyNumberFormat="1" applyFont="1" applyAlignment="1">
      <alignment horizontal="right"/>
    </xf>
    <xf numFmtId="41" fontId="0" fillId="0" borderId="0" xfId="0" applyNumberFormat="1" applyAlignment="1">
      <alignment horizontal="right"/>
    </xf>
    <xf numFmtId="41" fontId="13" fillId="0" borderId="0" xfId="2" applyNumberFormat="1" applyFont="1" applyAlignment="1">
      <alignment horizontal="right"/>
    </xf>
    <xf numFmtId="41" fontId="0" fillId="0" borderId="2" xfId="0" applyNumberFormat="1" applyBorder="1"/>
    <xf numFmtId="41" fontId="6" fillId="12" borderId="16" xfId="2" applyNumberFormat="1" applyFont="1" applyFill="1" applyBorder="1"/>
    <xf numFmtId="41" fontId="6" fillId="18" borderId="5" xfId="2" applyNumberFormat="1" applyFont="1" applyFill="1" applyBorder="1"/>
    <xf numFmtId="41" fontId="6" fillId="0" borderId="5" xfId="0" applyNumberFormat="1" applyFont="1" applyBorder="1" applyAlignment="1">
      <alignment horizontal="center"/>
    </xf>
    <xf numFmtId="41" fontId="6" fillId="0" borderId="3" xfId="2" applyNumberFormat="1" applyFont="1" applyBorder="1"/>
    <xf numFmtId="41" fontId="6" fillId="0" borderId="8" xfId="2" applyNumberFormat="1" applyFont="1" applyBorder="1"/>
    <xf numFmtId="41" fontId="9" fillId="0" borderId="5" xfId="2" applyNumberFormat="1" applyFont="1" applyBorder="1"/>
    <xf numFmtId="41" fontId="9" fillId="0" borderId="7" xfId="2" applyNumberFormat="1" applyFont="1" applyBorder="1"/>
    <xf numFmtId="0" fontId="6" fillId="0" borderId="0" xfId="2" applyFont="1"/>
    <xf numFmtId="0" fontId="6" fillId="0" borderId="0" xfId="2" applyFont="1" applyBorder="1"/>
    <xf numFmtId="41" fontId="6" fillId="0" borderId="8" xfId="2" applyNumberFormat="1" applyFont="1" applyBorder="1"/>
    <xf numFmtId="41" fontId="6" fillId="0" borderId="0" xfId="2" applyNumberFormat="1" applyFont="1" applyBorder="1"/>
    <xf numFmtId="0" fontId="6" fillId="0" borderId="0" xfId="2" applyFont="1" applyAlignment="1">
      <alignment horizontal="right"/>
    </xf>
    <xf numFmtId="41" fontId="6" fillId="0" borderId="0" xfId="2" applyNumberFormat="1" applyFont="1" applyBorder="1" applyAlignment="1">
      <alignment horizontal="center"/>
    </xf>
    <xf numFmtId="41" fontId="6" fillId="0" borderId="3" xfId="2" applyNumberFormat="1" applyFont="1" applyBorder="1"/>
    <xf numFmtId="41" fontId="6" fillId="0" borderId="0" xfId="7" applyNumberFormat="1" applyFont="1"/>
    <xf numFmtId="41" fontId="6" fillId="0" borderId="0" xfId="6" applyNumberFormat="1" applyFont="1" applyBorder="1"/>
    <xf numFmtId="49" fontId="0" fillId="14" borderId="5" xfId="0" applyNumberFormat="1" applyFill="1" applyBorder="1"/>
    <xf numFmtId="49" fontId="0" fillId="0" borderId="5" xfId="0" applyNumberFormat="1" applyBorder="1" applyAlignment="1"/>
    <xf numFmtId="43" fontId="0" fillId="0" borderId="0" xfId="0" applyNumberFormat="1"/>
    <xf numFmtId="41" fontId="0" fillId="0" borderId="0" xfId="0" applyNumberFormat="1"/>
    <xf numFmtId="41" fontId="6" fillId="14" borderId="5" xfId="0" applyNumberFormat="1" applyFont="1" applyFill="1" applyBorder="1"/>
    <xf numFmtId="41" fontId="13" fillId="0" borderId="0" xfId="0" applyNumberFormat="1" applyFont="1" applyAlignment="1">
      <alignment horizontal="right"/>
    </xf>
    <xf numFmtId="0" fontId="6" fillId="0" borderId="0" xfId="0" applyFont="1"/>
    <xf numFmtId="41" fontId="0" fillId="0" borderId="5" xfId="0" applyNumberFormat="1" applyBorder="1"/>
    <xf numFmtId="41" fontId="6" fillId="0" borderId="5" xfId="0" applyNumberFormat="1" applyFont="1" applyBorder="1"/>
    <xf numFmtId="49" fontId="0" fillId="0" borderId="5" xfId="0" applyNumberFormat="1" applyBorder="1"/>
    <xf numFmtId="41" fontId="6" fillId="19" borderId="5" xfId="0" applyNumberFormat="1" applyFont="1" applyFill="1" applyBorder="1" applyAlignment="1">
      <alignment horizontal="center"/>
    </xf>
    <xf numFmtId="5" fontId="6" fillId="2" borderId="6" xfId="1" applyNumberFormat="1" applyFont="1" applyFill="1" applyBorder="1"/>
    <xf numFmtId="0" fontId="6" fillId="2" borderId="5" xfId="1" applyFont="1" applyFill="1" applyBorder="1"/>
    <xf numFmtId="0" fontId="6" fillId="2" borderId="0" xfId="1" applyFont="1" applyFill="1"/>
    <xf numFmtId="0" fontId="6" fillId="2" borderId="2" xfId="1" applyFont="1" applyFill="1" applyBorder="1"/>
    <xf numFmtId="0" fontId="23" fillId="0" borderId="19" xfId="115" applyFont="1" applyBorder="1" applyAlignment="1" applyProtection="1">
      <alignment vertical="center" wrapText="1"/>
      <protection locked="0"/>
    </xf>
    <xf numFmtId="167" fontId="23" fillId="0" borderId="19" xfId="113" applyNumberFormat="1" applyFont="1" applyBorder="1" applyAlignment="1" applyProtection="1">
      <alignment vertical="center"/>
      <protection locked="0"/>
    </xf>
    <xf numFmtId="0" fontId="23" fillId="0" borderId="19" xfId="115" applyFont="1" applyBorder="1" applyAlignment="1" applyProtection="1">
      <alignment vertical="center" wrapText="1"/>
      <protection locked="0"/>
    </xf>
    <xf numFmtId="41" fontId="9" fillId="0" borderId="0" xfId="2" applyNumberFormat="1" applyFont="1"/>
    <xf numFmtId="41" fontId="9" fillId="0" borderId="0" xfId="2" applyNumberFormat="1" applyFont="1" applyBorder="1"/>
    <xf numFmtId="41" fontId="6" fillId="14" borderId="2" xfId="2" applyNumberFormat="1" applyFont="1" applyFill="1" applyBorder="1"/>
    <xf numFmtId="41" fontId="6" fillId="18" borderId="15" xfId="2" applyNumberFormat="1" applyFont="1" applyFill="1" applyBorder="1"/>
    <xf numFmtId="0" fontId="6" fillId="14" borderId="8" xfId="2" applyFont="1" applyFill="1" applyBorder="1"/>
    <xf numFmtId="0" fontId="6" fillId="14" borderId="15" xfId="2" applyFont="1" applyFill="1" applyBorder="1"/>
    <xf numFmtId="41" fontId="22" fillId="19" borderId="5" xfId="89" applyNumberFormat="1" applyFont="1" applyFill="1" applyBorder="1"/>
    <xf numFmtId="41" fontId="22" fillId="14" borderId="5" xfId="89" applyNumberFormat="1" applyFont="1" applyFill="1" applyBorder="1"/>
    <xf numFmtId="41" fontId="22" fillId="14" borderId="5" xfId="69" applyNumberFormat="1" applyFont="1" applyFill="1" applyBorder="1"/>
    <xf numFmtId="49" fontId="11" fillId="0" borderId="0" xfId="0" applyNumberFormat="1" applyFont="1" applyAlignment="1">
      <alignment horizontal="center"/>
    </xf>
    <xf numFmtId="0" fontId="6" fillId="6" borderId="0" xfId="0" applyFont="1" applyFill="1" applyAlignment="1" applyProtection="1">
      <alignment horizontal="center" vertical="center"/>
    </xf>
    <xf numFmtId="49" fontId="6" fillId="6" borderId="2" xfId="0" applyNumberFormat="1" applyFont="1" applyFill="1" applyBorder="1" applyAlignment="1" applyProtection="1">
      <alignment horizontal="center" vertical="center"/>
    </xf>
    <xf numFmtId="41" fontId="6" fillId="6" borderId="5" xfId="0" applyNumberFormat="1" applyFont="1" applyFill="1" applyBorder="1"/>
    <xf numFmtId="41" fontId="22" fillId="6" borderId="5" xfId="89" applyNumberFormat="1" applyFont="1" applyFill="1" applyBorder="1"/>
    <xf numFmtId="41" fontId="22" fillId="6" borderId="5" xfId="58" applyNumberFormat="1" applyFont="1" applyFill="1" applyBorder="1"/>
    <xf numFmtId="41" fontId="22" fillId="6" borderId="5" xfId="69" applyNumberFormat="1" applyFont="1" applyFill="1" applyBorder="1"/>
    <xf numFmtId="41" fontId="0" fillId="6" borderId="5" xfId="0" applyNumberFormat="1" applyFill="1" applyBorder="1"/>
    <xf numFmtId="41" fontId="0" fillId="6" borderId="2" xfId="0" applyNumberFormat="1" applyFill="1" applyBorder="1"/>
    <xf numFmtId="41" fontId="0" fillId="6" borderId="0" xfId="0" applyNumberFormat="1" applyFill="1"/>
    <xf numFmtId="41" fontId="9" fillId="6" borderId="0" xfId="0" applyNumberFormat="1" applyFont="1" applyFill="1"/>
    <xf numFmtId="41" fontId="9" fillId="0" borderId="16" xfId="0" applyNumberFormat="1" applyFont="1" applyBorder="1" applyAlignment="1">
      <alignment horizontal="center"/>
    </xf>
    <xf numFmtId="49" fontId="6" fillId="0" borderId="5" xfId="0" applyNumberFormat="1" applyFont="1" applyBorder="1"/>
    <xf numFmtId="49" fontId="0" fillId="0" borderId="5" xfId="0" applyNumberFormat="1" applyBorder="1" applyAlignment="1">
      <alignment horizontal="right"/>
    </xf>
    <xf numFmtId="49" fontId="6" fillId="0" borderId="5" xfId="0" applyNumberFormat="1" applyFont="1" applyBorder="1" applyAlignment="1">
      <alignment horizontal="centerContinuous"/>
    </xf>
    <xf numFmtId="49" fontId="0" fillId="0" borderId="5" xfId="0" applyNumberFormat="1" applyBorder="1" applyAlignment="1">
      <alignment horizontal="centerContinuous"/>
    </xf>
    <xf numFmtId="41" fontId="6" fillId="0" borderId="5" xfId="6" applyNumberFormat="1" applyFont="1" applyBorder="1"/>
    <xf numFmtId="0" fontId="0" fillId="0" borderId="5" xfId="0" applyBorder="1"/>
    <xf numFmtId="41" fontId="0" fillId="14" borderId="5" xfId="0" applyNumberFormat="1" applyFill="1" applyBorder="1"/>
    <xf numFmtId="9" fontId="0" fillId="0" borderId="5" xfId="0" applyNumberFormat="1" applyBorder="1" applyAlignment="1">
      <alignment horizontal="right"/>
    </xf>
    <xf numFmtId="0" fontId="6" fillId="0" borderId="5" xfId="0" applyFont="1" applyBorder="1" applyAlignment="1">
      <alignment horizontal="right"/>
    </xf>
    <xf numFmtId="41" fontId="0" fillId="17" borderId="5" xfId="0" applyNumberFormat="1" applyFill="1" applyBorder="1"/>
    <xf numFmtId="0" fontId="0" fillId="0" borderId="5" xfId="0" applyBorder="1" applyAlignment="1">
      <alignment horizontal="right"/>
    </xf>
    <xf numFmtId="49" fontId="0" fillId="0" borderId="2" xfId="0" applyNumberFormat="1" applyFill="1" applyBorder="1" applyAlignment="1" applyProtection="1">
      <alignment horizontal="center"/>
    </xf>
    <xf numFmtId="0" fontId="24" fillId="0" borderId="0" xfId="118" applyFont="1"/>
    <xf numFmtId="0" fontId="22" fillId="0" borderId="0" xfId="118" applyFont="1"/>
    <xf numFmtId="0" fontId="22" fillId="0" borderId="0" xfId="118" applyFont="1" applyBorder="1"/>
    <xf numFmtId="0" fontId="24" fillId="0" borderId="2" xfId="118" applyFont="1" applyBorder="1" applyAlignment="1">
      <alignment wrapText="1"/>
    </xf>
    <xf numFmtId="0" fontId="24" fillId="0" borderId="2" xfId="118" applyFont="1" applyBorder="1" applyAlignment="1">
      <alignment horizontal="center" wrapText="1"/>
    </xf>
    <xf numFmtId="0" fontId="24" fillId="0" borderId="4" xfId="118" applyFont="1" applyBorder="1" applyAlignment="1">
      <alignment horizontal="center" wrapText="1"/>
    </xf>
    <xf numFmtId="0" fontId="22" fillId="0" borderId="0" xfId="118" applyFont="1" applyAlignment="1">
      <alignment wrapText="1"/>
    </xf>
    <xf numFmtId="0" fontId="22" fillId="0" borderId="0" xfId="118" applyFont="1" applyAlignment="1">
      <alignment horizontal="left"/>
    </xf>
    <xf numFmtId="41" fontId="22" fillId="0" borderId="0" xfId="118" applyNumberFormat="1" applyFont="1" applyBorder="1"/>
    <xf numFmtId="41" fontId="22" fillId="0" borderId="3" xfId="118" applyNumberFormat="1" applyFont="1" applyBorder="1"/>
    <xf numFmtId="41" fontId="22" fillId="0" borderId="0" xfId="118" applyNumberFormat="1" applyFont="1"/>
    <xf numFmtId="0" fontId="24" fillId="0" borderId="12" xfId="118" applyFont="1" applyBorder="1" applyAlignment="1">
      <alignment horizontal="left"/>
    </xf>
    <xf numFmtId="0" fontId="24" fillId="0" borderId="12" xfId="118" applyFont="1" applyBorder="1"/>
    <xf numFmtId="41" fontId="24" fillId="0" borderId="12" xfId="118" applyNumberFormat="1" applyFont="1" applyBorder="1"/>
    <xf numFmtId="41" fontId="24" fillId="0" borderId="17" xfId="118" applyNumberFormat="1" applyFont="1" applyBorder="1"/>
    <xf numFmtId="0" fontId="24" fillId="0" borderId="0" xfId="118" applyFont="1" applyBorder="1" applyAlignment="1">
      <alignment horizontal="left"/>
    </xf>
    <xf numFmtId="0" fontId="24" fillId="0" borderId="0" xfId="118" applyFont="1" applyBorder="1"/>
    <xf numFmtId="41" fontId="24" fillId="0" borderId="0" xfId="118" applyNumberFormat="1" applyFont="1" applyBorder="1"/>
    <xf numFmtId="41" fontId="24" fillId="0" borderId="3" xfId="118" applyNumberFormat="1" applyFont="1" applyBorder="1"/>
    <xf numFmtId="49" fontId="11" fillId="0" borderId="0" xfId="0" applyNumberFormat="1" applyFont="1" applyAlignment="1">
      <alignment horizontal="center"/>
    </xf>
  </cellXfs>
  <cellStyles count="119">
    <cellStyle name="Comma 2" xfId="6"/>
    <cellStyle name="Comma 2 2" xfId="23"/>
    <cellStyle name="Comma 2 2 2" xfId="83"/>
    <cellStyle name="Comma 2 2 3" xfId="67"/>
    <cellStyle name="Comma 2 3" xfId="65"/>
    <cellStyle name="Comma 3" xfId="51"/>
    <cellStyle name="Comma0" xfId="8"/>
    <cellStyle name="Comma0 2" xfId="24"/>
    <cellStyle name="Comma0 3" xfId="46"/>
    <cellStyle name="Currency 10" xfId="94"/>
    <cellStyle name="Currency 2" xfId="7"/>
    <cellStyle name="Currency 2 2" xfId="10"/>
    <cellStyle name="Currency 2 3" xfId="70"/>
    <cellStyle name="Currency 2 4" xfId="66"/>
    <cellStyle name="Currency 3" xfId="11"/>
    <cellStyle name="Currency 4" xfId="9"/>
    <cellStyle name="Currency 4 2" xfId="39"/>
    <cellStyle name="Currency 4 2 2" xfId="68"/>
    <cellStyle name="Currency 4 2 3" xfId="61"/>
    <cellStyle name="Currency 4 2 3 2" xfId="107"/>
    <cellStyle name="Currency 4 2 4" xfId="92"/>
    <cellStyle name="Currency 4 3" xfId="26"/>
    <cellStyle name="Currency 4 3 2" xfId="84"/>
    <cellStyle name="Currency 4 3 3" xfId="78"/>
    <cellStyle name="Currency 4 3 3 2" xfId="111"/>
    <cellStyle name="Currency 4 3 4" xfId="97"/>
    <cellStyle name="Currency 4 3 5" xfId="113"/>
    <cellStyle name="Currency 5" xfId="27"/>
    <cellStyle name="Currency 5 2" xfId="28"/>
    <cellStyle name="Currency 5 3" xfId="59"/>
    <cellStyle name="Currency 5 3 2" xfId="105"/>
    <cellStyle name="Currency 5 4" xfId="90"/>
    <cellStyle name="Currency 5 5" xfId="114"/>
    <cellStyle name="Currency 6" xfId="25"/>
    <cellStyle name="Currency 7" xfId="52"/>
    <cellStyle name="Currency 7 2" xfId="75"/>
    <cellStyle name="Currency 8" xfId="56"/>
    <cellStyle name="Currency 8 2" xfId="87"/>
    <cellStyle name="Currency 8 2 2" xfId="112"/>
    <cellStyle name="Currency 8 3" xfId="101"/>
    <cellStyle name="Currency 9" xfId="63"/>
    <cellStyle name="Currency 9 2" xfId="109"/>
    <cellStyle name="Currency0" xfId="12"/>
    <cellStyle name="Currency0 2" xfId="29"/>
    <cellStyle name="Currency0 3" xfId="47"/>
    <cellStyle name="Date" xfId="13"/>
    <cellStyle name="Date 2" xfId="30"/>
    <cellStyle name="Date 3" xfId="48"/>
    <cellStyle name="Fixed" xfId="14"/>
    <cellStyle name="Fixed 2" xfId="31"/>
    <cellStyle name="Fixed 3" xfId="49"/>
    <cellStyle name="Heading 1 2" xfId="15"/>
    <cellStyle name="Heading 1 2 2" xfId="33"/>
    <cellStyle name="Heading 1 2 3" xfId="43"/>
    <cellStyle name="Heading 1 3" xfId="32"/>
    <cellStyle name="Heading 2 2" xfId="16"/>
    <cellStyle name="Heading 2 2 2" xfId="35"/>
    <cellStyle name="Heading 2 2 3" xfId="44"/>
    <cellStyle name="Heading 2 3" xfId="34"/>
    <cellStyle name="Normal" xfId="0" builtinId="0"/>
    <cellStyle name="Normal 10" xfId="103"/>
    <cellStyle name="Normal 11" xfId="89"/>
    <cellStyle name="Normal 12" xfId="118"/>
    <cellStyle name="Normal 2" xfId="2"/>
    <cellStyle name="Normal 2 2" xfId="17"/>
    <cellStyle name="Normal 2 3" xfId="40"/>
    <cellStyle name="Normal 2 3 2" xfId="71"/>
    <cellStyle name="Normal 2 4" xfId="54"/>
    <cellStyle name="Normal 2 5" xfId="76"/>
    <cellStyle name="Normal 3" xfId="18"/>
    <cellStyle name="Normal 3 2" xfId="42"/>
    <cellStyle name="Normal 3 2 2" xfId="69"/>
    <cellStyle name="Normal 3 2 2 2" xfId="95"/>
    <cellStyle name="Normal 3 2 2 3" xfId="115"/>
    <cellStyle name="Normal 3 3" xfId="41"/>
    <cellStyle name="Normal 3 3 2" xfId="64"/>
    <cellStyle name="Normal 3 3 2 2" xfId="81"/>
    <cellStyle name="Normal 3 3 2 2 2" xfId="98"/>
    <cellStyle name="Normal 3 3 3" xfId="62"/>
    <cellStyle name="Normal 3 3 3 2" xfId="108"/>
    <cellStyle name="Normal 3 3 4" xfId="93"/>
    <cellStyle name="Normal 3 4" xfId="36"/>
    <cellStyle name="Normal 3 4 2" xfId="85"/>
    <cellStyle name="Normal 3 4 3" xfId="77"/>
    <cellStyle name="Normal 3 4 3 2" xfId="110"/>
    <cellStyle name="Normal 3 4 4" xfId="96"/>
    <cellStyle name="Normal 3 4 5" xfId="116"/>
    <cellStyle name="Normal 4" xfId="3"/>
    <cellStyle name="Normal 4 2" xfId="45"/>
    <cellStyle name="Normal 4 2 2" xfId="72"/>
    <cellStyle name="Normal 4 3" xfId="55"/>
    <cellStyle name="Normal 4 4" xfId="37"/>
    <cellStyle name="Normal 4 4 2" xfId="86"/>
    <cellStyle name="Normal 4 4 2 2" xfId="100"/>
    <cellStyle name="Normal 4 4 3" xfId="79"/>
    <cellStyle name="Normal 4 5" xfId="60"/>
    <cellStyle name="Normal 4 5 2" xfId="106"/>
    <cellStyle name="Normal 4 6" xfId="91"/>
    <cellStyle name="Normal 4 7" xfId="117"/>
    <cellStyle name="Normal 5" xfId="22"/>
    <cellStyle name="Normal 6" xfId="50"/>
    <cellStyle name="Normal 7" xfId="57"/>
    <cellStyle name="Normal 7 2" xfId="88"/>
    <cellStyle name="Normal 8" xfId="21"/>
    <cellStyle name="Normal 8 2" xfId="82"/>
    <cellStyle name="Normal 8 2 2" xfId="99"/>
    <cellStyle name="Normal 8 3" xfId="74"/>
    <cellStyle name="Normal 9" xfId="58"/>
    <cellStyle name="Normal 9 2" xfId="104"/>
    <cellStyle name="Normal 9 3" xfId="102"/>
    <cellStyle name="Normal_Engineering (4149)" xfId="1"/>
    <cellStyle name="Normal_Sheet2" xfId="5"/>
    <cellStyle name="Percent 2" xfId="4"/>
    <cellStyle name="Percent 2 2" xfId="73"/>
    <cellStyle name="Percent 3" xfId="19"/>
    <cellStyle name="Percent 3 2" xfId="53"/>
    <cellStyle name="Total 2" xfId="20"/>
    <cellStyle name="Total 3" xfId="38"/>
    <cellStyle name="Total 4" xfId="80"/>
  </cellStyles>
  <dxfs count="6">
    <dxf>
      <font>
        <b/>
        <i val="0"/>
        <condense val="0"/>
        <extend val="0"/>
        <color indexed="10"/>
      </font>
    </dxf>
    <dxf>
      <font>
        <condense val="0"/>
        <extend val="0"/>
        <color indexed="57"/>
      </font>
    </dxf>
    <dxf>
      <font>
        <condense val="0"/>
        <extend val="0"/>
        <color indexed="57"/>
      </font>
    </dxf>
    <dxf>
      <font>
        <b/>
        <i val="0"/>
        <condense val="0"/>
        <extend val="0"/>
        <color indexed="10"/>
      </font>
    </dxf>
    <dxf>
      <font>
        <b val="0"/>
        <i val="0"/>
        <condense val="0"/>
        <extend val="0"/>
        <color indexed="57"/>
      </font>
    </dxf>
    <dxf>
      <font>
        <b/>
        <i val="0"/>
        <condense val="0"/>
        <extend val="0"/>
        <color indexed="10"/>
      </font>
    </dxf>
  </dxfs>
  <tableStyles count="0" defaultTableStyle="TableStyleMedium9" defaultPivotStyle="PivotStyleLight16"/>
  <colors>
    <mruColors>
      <color rgb="FFCCC0DA"/>
      <color rgb="FF9999FF"/>
      <color rgb="FFCC99FF"/>
      <color rgb="FFCCFFCC"/>
      <color rgb="FF99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workbookViewId="0">
      <selection activeCell="A4" sqref="A4"/>
    </sheetView>
  </sheetViews>
  <sheetFormatPr defaultRowHeight="12.75" x14ac:dyDescent="0.2"/>
  <cols>
    <col min="1" max="1" width="6.6640625" style="346" customWidth="1"/>
    <col min="2" max="2" width="28.6640625" style="346" bestFit="1" customWidth="1"/>
    <col min="3" max="6" width="11.6640625" style="346" bestFit="1" customWidth="1"/>
    <col min="7" max="7" width="11.6640625" style="347" bestFit="1" customWidth="1"/>
    <col min="8" max="9" width="11.6640625" style="346" bestFit="1" customWidth="1"/>
    <col min="10" max="16384" width="9.33203125" style="346"/>
  </cols>
  <sheetData>
    <row r="1" spans="1:9" x14ac:dyDescent="0.2">
      <c r="A1" s="345" t="s">
        <v>162</v>
      </c>
    </row>
    <row r="2" spans="1:9" x14ac:dyDescent="0.2">
      <c r="A2" s="345" t="s">
        <v>163</v>
      </c>
    </row>
    <row r="3" spans="1:9" x14ac:dyDescent="0.2">
      <c r="A3" s="345" t="s">
        <v>274</v>
      </c>
    </row>
    <row r="4" spans="1:9" x14ac:dyDescent="0.2">
      <c r="C4" s="347"/>
      <c r="D4" s="347"/>
      <c r="E4" s="347"/>
      <c r="F4" s="347"/>
      <c r="H4" s="347"/>
      <c r="I4" s="347"/>
    </row>
    <row r="5" spans="1:9" s="351" customFormat="1" ht="25.5" x14ac:dyDescent="0.2">
      <c r="A5" s="348"/>
      <c r="B5" s="348" t="s">
        <v>779</v>
      </c>
      <c r="C5" s="349" t="s">
        <v>780</v>
      </c>
      <c r="D5" s="350" t="s">
        <v>781</v>
      </c>
      <c r="E5" s="349" t="s">
        <v>784</v>
      </c>
      <c r="F5" s="349" t="s">
        <v>782</v>
      </c>
      <c r="G5" s="349" t="s">
        <v>785</v>
      </c>
      <c r="H5" s="350" t="s">
        <v>783</v>
      </c>
      <c r="I5" s="349" t="s">
        <v>786</v>
      </c>
    </row>
    <row r="6" spans="1:9" x14ac:dyDescent="0.2">
      <c r="A6" s="352" t="s">
        <v>787</v>
      </c>
      <c r="B6" s="352" t="s">
        <v>788</v>
      </c>
      <c r="C6" s="353">
        <v>6913554.0600000005</v>
      </c>
      <c r="D6" s="354">
        <v>7112759.4100000001</v>
      </c>
      <c r="E6" s="355">
        <v>7159979</v>
      </c>
      <c r="F6" s="355">
        <v>7159979</v>
      </c>
      <c r="G6" s="353">
        <v>900784.91</v>
      </c>
      <c r="H6" s="354">
        <v>7255582</v>
      </c>
      <c r="I6" s="355">
        <v>7393206</v>
      </c>
    </row>
    <row r="7" spans="1:9" x14ac:dyDescent="0.2">
      <c r="B7" s="352" t="s">
        <v>789</v>
      </c>
      <c r="C7" s="353">
        <v>594777.17000000004</v>
      </c>
      <c r="D7" s="354">
        <v>594200.04</v>
      </c>
      <c r="E7" s="355">
        <v>594777</v>
      </c>
      <c r="F7" s="355">
        <v>594777</v>
      </c>
      <c r="G7" s="353">
        <v>234196.11</v>
      </c>
      <c r="H7" s="354">
        <v>582316</v>
      </c>
      <c r="I7" s="355">
        <v>588139</v>
      </c>
    </row>
    <row r="8" spans="1:9" x14ac:dyDescent="0.2">
      <c r="B8" s="352" t="s">
        <v>790</v>
      </c>
      <c r="C8" s="353">
        <v>124560.5</v>
      </c>
      <c r="D8" s="354">
        <v>40059</v>
      </c>
      <c r="E8" s="355">
        <v>34835</v>
      </c>
      <c r="F8" s="355">
        <v>34835</v>
      </c>
      <c r="G8" s="353">
        <v>34835</v>
      </c>
      <c r="H8" s="354">
        <v>34835</v>
      </c>
      <c r="I8" s="355">
        <v>34685</v>
      </c>
    </row>
    <row r="9" spans="1:9" x14ac:dyDescent="0.2">
      <c r="B9" s="352" t="s">
        <v>791</v>
      </c>
      <c r="C9" s="353">
        <v>151845.18</v>
      </c>
      <c r="D9" s="354">
        <v>155801.54999999999</v>
      </c>
      <c r="E9" s="355">
        <v>162500</v>
      </c>
      <c r="F9" s="355">
        <v>162500</v>
      </c>
      <c r="G9" s="353">
        <v>74826.23</v>
      </c>
      <c r="H9" s="354">
        <v>150500</v>
      </c>
      <c r="I9" s="355">
        <v>150500</v>
      </c>
    </row>
    <row r="10" spans="1:9" x14ac:dyDescent="0.2">
      <c r="B10" s="352" t="s">
        <v>792</v>
      </c>
      <c r="C10" s="353">
        <v>30461.21</v>
      </c>
      <c r="D10" s="354">
        <v>45595.87</v>
      </c>
      <c r="E10" s="355">
        <v>40500</v>
      </c>
      <c r="F10" s="355">
        <v>40500</v>
      </c>
      <c r="G10" s="353">
        <v>6449.7300000000005</v>
      </c>
      <c r="H10" s="354">
        <v>34000</v>
      </c>
      <c r="I10" s="355">
        <v>30000</v>
      </c>
    </row>
    <row r="11" spans="1:9" x14ac:dyDescent="0.2">
      <c r="A11" s="356" t="s">
        <v>793</v>
      </c>
      <c r="B11" s="357"/>
      <c r="C11" s="358">
        <v>7815198.1200000001</v>
      </c>
      <c r="D11" s="359">
        <v>7948415.8700000001</v>
      </c>
      <c r="E11" s="358">
        <v>7992591</v>
      </c>
      <c r="F11" s="358">
        <v>7992591</v>
      </c>
      <c r="G11" s="358">
        <v>1251091.98</v>
      </c>
      <c r="H11" s="359">
        <v>8057233</v>
      </c>
      <c r="I11" s="358">
        <v>8196530</v>
      </c>
    </row>
    <row r="12" spans="1:9" x14ac:dyDescent="0.2">
      <c r="A12" s="360"/>
      <c r="B12" s="361"/>
      <c r="C12" s="362"/>
      <c r="D12" s="363"/>
      <c r="E12" s="362"/>
      <c r="F12" s="362"/>
      <c r="G12" s="362"/>
      <c r="H12" s="363"/>
      <c r="I12" s="362"/>
    </row>
    <row r="13" spans="1:9" x14ac:dyDescent="0.2">
      <c r="A13" s="352" t="s">
        <v>794</v>
      </c>
      <c r="B13" s="352" t="s">
        <v>795</v>
      </c>
      <c r="C13" s="353">
        <v>2905376.2800000003</v>
      </c>
      <c r="D13" s="354">
        <v>2882272.3899999997</v>
      </c>
      <c r="E13" s="355">
        <v>3176178</v>
      </c>
      <c r="F13" s="355">
        <v>3176178</v>
      </c>
      <c r="G13" s="353">
        <v>1399947.5</v>
      </c>
      <c r="H13" s="354">
        <v>3163080</v>
      </c>
      <c r="I13" s="355">
        <v>3225791</v>
      </c>
    </row>
    <row r="14" spans="1:9" x14ac:dyDescent="0.2">
      <c r="B14" s="352" t="s">
        <v>796</v>
      </c>
      <c r="C14" s="353">
        <v>1112524.8700000001</v>
      </c>
      <c r="D14" s="354">
        <v>1141949.6600000001</v>
      </c>
      <c r="E14" s="355">
        <v>1368152</v>
      </c>
      <c r="F14" s="355">
        <v>1368152</v>
      </c>
      <c r="G14" s="353">
        <v>588395.61</v>
      </c>
      <c r="H14" s="354">
        <v>1310000</v>
      </c>
      <c r="I14" s="355">
        <v>1387616</v>
      </c>
    </row>
    <row r="15" spans="1:9" x14ac:dyDescent="0.2">
      <c r="B15" s="352" t="s">
        <v>797</v>
      </c>
      <c r="C15" s="353">
        <v>35854.71</v>
      </c>
      <c r="D15" s="354">
        <v>41236.75</v>
      </c>
      <c r="E15" s="355">
        <v>54931</v>
      </c>
      <c r="F15" s="355">
        <v>54931</v>
      </c>
      <c r="G15" s="353">
        <v>14570.01</v>
      </c>
      <c r="H15" s="354">
        <v>30650</v>
      </c>
      <c r="I15" s="355">
        <v>51229</v>
      </c>
    </row>
    <row r="16" spans="1:9" x14ac:dyDescent="0.2">
      <c r="B16" s="352" t="s">
        <v>798</v>
      </c>
      <c r="C16" s="353">
        <v>2354145.5</v>
      </c>
      <c r="D16" s="354">
        <v>2697291.9600000004</v>
      </c>
      <c r="E16" s="355">
        <v>3005039</v>
      </c>
      <c r="F16" s="355">
        <v>3050239</v>
      </c>
      <c r="G16" s="353">
        <v>1017502.59</v>
      </c>
      <c r="H16" s="354">
        <v>2960942</v>
      </c>
      <c r="I16" s="355">
        <v>3208740.9</v>
      </c>
    </row>
    <row r="17" spans="1:9" x14ac:dyDescent="0.2">
      <c r="B17" s="352" t="s">
        <v>40</v>
      </c>
      <c r="C17" s="353">
        <v>225746.93</v>
      </c>
      <c r="D17" s="354">
        <v>66955.45</v>
      </c>
      <c r="E17" s="355">
        <v>52096</v>
      </c>
      <c r="F17" s="355">
        <v>52096</v>
      </c>
      <c r="G17" s="353">
        <v>100078.03</v>
      </c>
      <c r="H17" s="354">
        <v>115835</v>
      </c>
      <c r="I17" s="355">
        <v>23517.5</v>
      </c>
    </row>
    <row r="18" spans="1:9" x14ac:dyDescent="0.2">
      <c r="B18" s="352" t="s">
        <v>799</v>
      </c>
      <c r="C18" s="353">
        <v>147743.4</v>
      </c>
      <c r="D18" s="354">
        <v>208085.9</v>
      </c>
      <c r="E18" s="355">
        <v>543750</v>
      </c>
      <c r="F18" s="355">
        <v>641698</v>
      </c>
      <c r="G18" s="353">
        <v>88253.03</v>
      </c>
      <c r="H18" s="354">
        <v>543750</v>
      </c>
      <c r="I18" s="355">
        <v>40248</v>
      </c>
    </row>
    <row r="19" spans="1:9" x14ac:dyDescent="0.2">
      <c r="B19" s="352" t="s">
        <v>800</v>
      </c>
      <c r="C19" s="353">
        <v>79974</v>
      </c>
      <c r="D19" s="354">
        <v>62543.040000000001</v>
      </c>
      <c r="E19" s="355">
        <v>88437</v>
      </c>
      <c r="F19" s="355">
        <v>88437</v>
      </c>
      <c r="G19" s="353">
        <v>44220</v>
      </c>
      <c r="H19" s="354">
        <v>88437</v>
      </c>
      <c r="I19" s="355">
        <v>88437</v>
      </c>
    </row>
    <row r="20" spans="1:9" x14ac:dyDescent="0.2">
      <c r="B20" s="352" t="s">
        <v>801</v>
      </c>
      <c r="C20" s="353">
        <v>527650</v>
      </c>
      <c r="D20" s="354">
        <v>542150</v>
      </c>
      <c r="E20" s="355">
        <v>531150</v>
      </c>
      <c r="F20" s="355">
        <v>531150</v>
      </c>
      <c r="G20" s="353">
        <v>0</v>
      </c>
      <c r="H20" s="354">
        <v>531150</v>
      </c>
      <c r="I20" s="355">
        <v>531150</v>
      </c>
    </row>
    <row r="21" spans="1:9" x14ac:dyDescent="0.2">
      <c r="A21" s="356" t="s">
        <v>802</v>
      </c>
      <c r="B21" s="357"/>
      <c r="C21" s="358">
        <v>7389015.6900000004</v>
      </c>
      <c r="D21" s="359">
        <v>7642485.1500000004</v>
      </c>
      <c r="E21" s="358">
        <v>8819733</v>
      </c>
      <c r="F21" s="358">
        <v>8962881</v>
      </c>
      <c r="G21" s="358">
        <v>3252966.7699999996</v>
      </c>
      <c r="H21" s="359">
        <v>8743844</v>
      </c>
      <c r="I21" s="358">
        <v>8556729.4000000004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pane ySplit="8" topLeftCell="A9" activePane="bottomLeft" state="frozen"/>
      <selection pane="bottomLeft" activeCell="A9" sqref="A9"/>
    </sheetView>
  </sheetViews>
  <sheetFormatPr defaultRowHeight="12.75" x14ac:dyDescent="0.2"/>
  <cols>
    <col min="1" max="1" width="4.5" style="2" customWidth="1"/>
    <col min="2" max="2" width="6" style="2" bestFit="1" customWidth="1"/>
    <col min="3" max="3" width="6.1640625" style="2" customWidth="1"/>
    <col min="4" max="4" width="6" style="2" customWidth="1"/>
    <col min="5" max="5" width="4.83203125" style="2" customWidth="1"/>
    <col min="6" max="6" width="59.83203125" style="2" customWidth="1"/>
    <col min="7" max="9" width="13.1640625" style="1" bestFit="1" customWidth="1"/>
    <col min="10" max="10" width="12.33203125" style="1" bestFit="1" customWidth="1"/>
    <col min="11" max="11" width="13.5" style="1" bestFit="1" customWidth="1"/>
    <col min="12" max="12" width="14.5" style="1" customWidth="1"/>
    <col min="13" max="13" width="14.33203125" style="1" customWidth="1"/>
    <col min="14" max="15" width="16.1640625" style="1" hidden="1" customWidth="1"/>
    <col min="16" max="16" width="14.33203125" customWidth="1"/>
    <col min="17" max="18" width="11.5" bestFit="1" customWidth="1"/>
    <col min="19" max="19" width="9.33203125" customWidth="1"/>
    <col min="20" max="20" width="14.33203125" bestFit="1" customWidth="1"/>
  </cols>
  <sheetData>
    <row r="1" spans="1:18" x14ac:dyDescent="0.2">
      <c r="G1" s="2"/>
      <c r="H1" s="2"/>
      <c r="I1" s="2"/>
      <c r="J1" s="2"/>
      <c r="K1" s="2"/>
      <c r="L1" s="2"/>
      <c r="M1" s="2"/>
      <c r="N1" s="2"/>
      <c r="O1" s="2"/>
    </row>
    <row r="2" spans="1:18" ht="15.75" x14ac:dyDescent="0.25">
      <c r="A2" s="321"/>
      <c r="B2" s="202"/>
      <c r="C2" s="202"/>
      <c r="D2" s="202"/>
      <c r="E2" s="364" t="s">
        <v>153</v>
      </c>
      <c r="F2" s="364"/>
      <c r="G2" s="364"/>
      <c r="H2" s="364"/>
      <c r="I2" s="364"/>
      <c r="J2" s="364"/>
      <c r="K2" s="364"/>
      <c r="L2" s="364"/>
      <c r="M2" s="364"/>
      <c r="N2" s="364"/>
      <c r="O2" s="364"/>
      <c r="P2" s="364"/>
      <c r="Q2" s="364"/>
      <c r="R2" s="364"/>
    </row>
    <row r="3" spans="1:18" ht="15.75" x14ac:dyDescent="0.25">
      <c r="A3" s="28"/>
      <c r="B3" s="24"/>
      <c r="C3" s="24"/>
      <c r="D3" s="24"/>
      <c r="E3" s="364" t="s">
        <v>1</v>
      </c>
      <c r="F3" s="364"/>
      <c r="G3" s="364"/>
      <c r="H3" s="364"/>
      <c r="I3" s="364"/>
      <c r="J3" s="364"/>
      <c r="K3" s="364"/>
      <c r="L3" s="364"/>
      <c r="M3" s="364"/>
      <c r="N3" s="364"/>
      <c r="O3" s="364"/>
      <c r="P3" s="364"/>
      <c r="Q3" s="364"/>
      <c r="R3" s="364"/>
    </row>
    <row r="4" spans="1:18" x14ac:dyDescent="0.2">
      <c r="G4" s="2"/>
      <c r="H4" s="2"/>
      <c r="I4" s="2"/>
      <c r="J4" s="2"/>
      <c r="K4" s="2"/>
      <c r="L4" s="2"/>
      <c r="M4" s="2"/>
      <c r="N4" s="2"/>
      <c r="O4" s="2"/>
      <c r="P4" s="251"/>
      <c r="Q4" s="251"/>
      <c r="R4" s="251"/>
    </row>
    <row r="5" spans="1:18" x14ac:dyDescent="0.2">
      <c r="G5" s="2"/>
      <c r="H5" s="2"/>
      <c r="I5" s="2"/>
      <c r="J5" s="2"/>
      <c r="K5" s="2"/>
      <c r="L5" s="2"/>
      <c r="M5" s="2"/>
      <c r="N5" s="2"/>
      <c r="O5" s="2"/>
      <c r="P5" s="251"/>
      <c r="Q5" s="251"/>
      <c r="R5" s="251"/>
    </row>
    <row r="6" spans="1:18" ht="15.75" x14ac:dyDescent="0.25">
      <c r="A6" s="21" t="s">
        <v>13</v>
      </c>
      <c r="B6" s="21"/>
      <c r="D6" s="21" t="s">
        <v>274</v>
      </c>
      <c r="G6" s="38"/>
      <c r="H6" s="38"/>
      <c r="I6" s="38"/>
      <c r="J6" s="38"/>
      <c r="K6" s="38"/>
      <c r="L6" s="38" t="s">
        <v>2</v>
      </c>
      <c r="M6" s="249" t="s">
        <v>759</v>
      </c>
      <c r="N6" s="38"/>
      <c r="O6" s="38"/>
      <c r="P6" s="322" t="s">
        <v>760</v>
      </c>
      <c r="Q6" s="38" t="s">
        <v>770</v>
      </c>
    </row>
    <row r="7" spans="1:18" x14ac:dyDescent="0.2">
      <c r="G7" s="249" t="s">
        <v>69</v>
      </c>
      <c r="H7" s="249" t="s">
        <v>72</v>
      </c>
      <c r="I7" s="249" t="s">
        <v>154</v>
      </c>
      <c r="J7" s="249" t="s">
        <v>155</v>
      </c>
      <c r="K7" s="249" t="s">
        <v>156</v>
      </c>
      <c r="L7" s="38" t="s">
        <v>0</v>
      </c>
      <c r="M7" s="249" t="s">
        <v>153</v>
      </c>
      <c r="N7" s="249" t="s">
        <v>153</v>
      </c>
      <c r="O7" s="249" t="s">
        <v>153</v>
      </c>
      <c r="P7" s="322">
        <v>2014</v>
      </c>
      <c r="Q7" s="249" t="s">
        <v>772</v>
      </c>
    </row>
    <row r="8" spans="1:18" x14ac:dyDescent="0.2">
      <c r="A8" s="30" t="s">
        <v>61</v>
      </c>
      <c r="B8" s="22"/>
      <c r="C8" s="22"/>
      <c r="D8" s="22"/>
      <c r="E8" s="22"/>
      <c r="F8" s="22"/>
      <c r="G8" s="39" t="s">
        <v>3</v>
      </c>
      <c r="H8" s="39" t="s">
        <v>3</v>
      </c>
      <c r="I8" s="39" t="s">
        <v>4</v>
      </c>
      <c r="J8" s="39" t="s">
        <v>4</v>
      </c>
      <c r="K8" s="39" t="s">
        <v>64</v>
      </c>
      <c r="L8" s="250" t="s">
        <v>73</v>
      </c>
      <c r="M8" s="39" t="s">
        <v>5</v>
      </c>
      <c r="N8" s="39" t="s">
        <v>6</v>
      </c>
      <c r="O8" s="39" t="s">
        <v>7</v>
      </c>
      <c r="P8" s="323" t="s">
        <v>758</v>
      </c>
      <c r="Q8" s="344" t="s">
        <v>771</v>
      </c>
    </row>
    <row r="9" spans="1:18" x14ac:dyDescent="0.2">
      <c r="A9" s="26"/>
      <c r="B9" s="26"/>
      <c r="C9" s="26"/>
      <c r="D9" s="26"/>
      <c r="E9" s="26"/>
      <c r="F9" s="26"/>
      <c r="G9" s="27"/>
      <c r="H9" s="27"/>
      <c r="I9" s="27"/>
      <c r="J9" s="27"/>
      <c r="K9" s="27"/>
      <c r="L9" s="27"/>
      <c r="M9" s="27"/>
      <c r="N9" s="27"/>
      <c r="O9" s="27"/>
      <c r="P9" s="27"/>
    </row>
    <row r="10" spans="1:18" ht="12" customHeight="1" x14ac:dyDescent="0.2">
      <c r="A10" s="23" t="s">
        <v>8</v>
      </c>
      <c r="P10" s="1"/>
    </row>
    <row r="11" spans="1:18" ht="12" customHeight="1" x14ac:dyDescent="0.2">
      <c r="A11" s="247" t="s">
        <v>162</v>
      </c>
      <c r="B11" s="2" t="s">
        <v>163</v>
      </c>
      <c r="C11" s="2" t="s">
        <v>164</v>
      </c>
      <c r="D11" s="2" t="s">
        <v>165</v>
      </c>
      <c r="E11" s="303" t="s">
        <v>166</v>
      </c>
      <c r="F11" s="303" t="s">
        <v>167</v>
      </c>
      <c r="G11" s="301">
        <v>6544077.6600000001</v>
      </c>
      <c r="H11" s="301">
        <v>6746303.4900000002</v>
      </c>
      <c r="I11" s="301">
        <v>6798446</v>
      </c>
      <c r="J11" s="301">
        <v>6798446</v>
      </c>
      <c r="K11" s="301">
        <v>677843.05</v>
      </c>
      <c r="L11" s="339">
        <v>6881230</v>
      </c>
      <c r="M11" s="339">
        <v>7018854</v>
      </c>
      <c r="N11" s="301"/>
      <c r="O11" s="301"/>
      <c r="P11" s="328">
        <v>7018854</v>
      </c>
      <c r="Q11" s="340" t="s">
        <v>768</v>
      </c>
    </row>
    <row r="12" spans="1:18" ht="12" customHeight="1" x14ac:dyDescent="0.2">
      <c r="A12" s="247" t="s">
        <v>162</v>
      </c>
      <c r="B12" s="2" t="s">
        <v>163</v>
      </c>
      <c r="C12" s="2" t="s">
        <v>168</v>
      </c>
      <c r="D12" s="2" t="s">
        <v>165</v>
      </c>
      <c r="E12" s="303" t="s">
        <v>166</v>
      </c>
      <c r="F12" s="303" t="s">
        <v>169</v>
      </c>
      <c r="G12" s="301">
        <v>594777.17000000004</v>
      </c>
      <c r="H12" s="301">
        <v>594200.04</v>
      </c>
      <c r="I12" s="301">
        <v>594777</v>
      </c>
      <c r="J12" s="301">
        <v>594777</v>
      </c>
      <c r="K12" s="301">
        <v>234196.11</v>
      </c>
      <c r="L12" s="339">
        <v>582316</v>
      </c>
      <c r="M12" s="339">
        <v>588139</v>
      </c>
      <c r="N12" s="301"/>
      <c r="O12" s="301"/>
      <c r="P12" s="328">
        <v>588139</v>
      </c>
      <c r="Q12" s="341" t="s">
        <v>769</v>
      </c>
      <c r="R12" s="251" t="s">
        <v>645</v>
      </c>
    </row>
    <row r="13" spans="1:18" ht="12" customHeight="1" x14ac:dyDescent="0.2">
      <c r="A13" s="247" t="s">
        <v>162</v>
      </c>
      <c r="B13" s="2" t="s">
        <v>163</v>
      </c>
      <c r="C13" s="2" t="s">
        <v>170</v>
      </c>
      <c r="D13" s="2" t="s">
        <v>165</v>
      </c>
      <c r="E13" s="303" t="s">
        <v>166</v>
      </c>
      <c r="F13" s="303" t="s">
        <v>171</v>
      </c>
      <c r="G13" s="301">
        <v>351133.17</v>
      </c>
      <c r="H13" s="301">
        <v>347541.6</v>
      </c>
      <c r="I13" s="301">
        <v>343584</v>
      </c>
      <c r="J13" s="301">
        <v>343584</v>
      </c>
      <c r="K13" s="301">
        <v>209241.14</v>
      </c>
      <c r="L13" s="339">
        <v>354492</v>
      </c>
      <c r="M13" s="339">
        <v>354492</v>
      </c>
      <c r="N13" s="342">
        <f t="shared" ref="N13:O14" si="0">J13</f>
        <v>343584</v>
      </c>
      <c r="O13" s="342">
        <f t="shared" si="0"/>
        <v>209241.14</v>
      </c>
      <c r="P13" s="328">
        <v>354492</v>
      </c>
      <c r="Q13" s="343">
        <v>0</v>
      </c>
    </row>
    <row r="14" spans="1:18" ht="12" customHeight="1" x14ac:dyDescent="0.2">
      <c r="A14" s="247" t="s">
        <v>162</v>
      </c>
      <c r="B14" s="2" t="s">
        <v>163</v>
      </c>
      <c r="C14" s="2" t="s">
        <v>172</v>
      </c>
      <c r="D14" s="2" t="s">
        <v>165</v>
      </c>
      <c r="E14" s="303" t="s">
        <v>166</v>
      </c>
      <c r="F14" s="303" t="s">
        <v>173</v>
      </c>
      <c r="G14" s="301">
        <v>18343.23</v>
      </c>
      <c r="H14" s="301">
        <v>18914.32</v>
      </c>
      <c r="I14" s="301">
        <v>17949</v>
      </c>
      <c r="J14" s="301">
        <v>17949</v>
      </c>
      <c r="K14" s="301">
        <v>13700.72</v>
      </c>
      <c r="L14" s="339">
        <v>19860</v>
      </c>
      <c r="M14" s="339">
        <v>19860</v>
      </c>
      <c r="N14" s="342">
        <f t="shared" si="0"/>
        <v>17949</v>
      </c>
      <c r="O14" s="342">
        <f t="shared" si="0"/>
        <v>13700.72</v>
      </c>
      <c r="P14" s="328">
        <v>19860</v>
      </c>
      <c r="Q14" s="343">
        <v>0</v>
      </c>
    </row>
    <row r="15" spans="1:18" ht="12" customHeight="1" x14ac:dyDescent="0.2">
      <c r="A15" s="333" t="s">
        <v>162</v>
      </c>
      <c r="B15" s="303" t="s">
        <v>163</v>
      </c>
      <c r="C15" s="303" t="s">
        <v>174</v>
      </c>
      <c r="D15" s="303" t="s">
        <v>165</v>
      </c>
      <c r="E15" s="303" t="s">
        <v>166</v>
      </c>
      <c r="F15" s="303" t="s">
        <v>175</v>
      </c>
      <c r="G15" s="301">
        <v>83242.5</v>
      </c>
      <c r="H15" s="301"/>
      <c r="I15" s="301"/>
      <c r="J15" s="301"/>
      <c r="K15" s="301"/>
      <c r="L15" s="301"/>
      <c r="M15" s="301"/>
      <c r="N15" s="301"/>
      <c r="O15" s="301"/>
      <c r="P15" s="328"/>
      <c r="Q15" s="338"/>
    </row>
    <row r="16" spans="1:18" ht="12" customHeight="1" x14ac:dyDescent="0.2">
      <c r="A16" s="333" t="s">
        <v>162</v>
      </c>
      <c r="B16" s="303" t="s">
        <v>163</v>
      </c>
      <c r="C16" s="303" t="s">
        <v>176</v>
      </c>
      <c r="D16" s="303" t="s">
        <v>165</v>
      </c>
      <c r="E16" s="303" t="s">
        <v>177</v>
      </c>
      <c r="F16" s="303" t="s">
        <v>178</v>
      </c>
      <c r="G16" s="301"/>
      <c r="H16" s="301">
        <v>40059</v>
      </c>
      <c r="I16" s="301">
        <v>34835</v>
      </c>
      <c r="J16" s="301">
        <v>34835</v>
      </c>
      <c r="K16" s="301">
        <v>34835</v>
      </c>
      <c r="L16" s="301">
        <v>34835</v>
      </c>
      <c r="M16" s="301">
        <v>34685</v>
      </c>
      <c r="N16" s="301"/>
      <c r="O16" s="301"/>
      <c r="P16" s="328">
        <v>34685</v>
      </c>
      <c r="Q16" s="338"/>
    </row>
    <row r="17" spans="1:20" ht="12" customHeight="1" x14ac:dyDescent="0.2">
      <c r="A17" s="333" t="s">
        <v>162</v>
      </c>
      <c r="B17" s="303" t="s">
        <v>163</v>
      </c>
      <c r="C17" s="303" t="s">
        <v>176</v>
      </c>
      <c r="D17" s="303" t="s">
        <v>179</v>
      </c>
      <c r="E17" s="303" t="s">
        <v>166</v>
      </c>
      <c r="F17" s="303" t="s">
        <v>180</v>
      </c>
      <c r="G17" s="301">
        <v>41318</v>
      </c>
      <c r="H17" s="301"/>
      <c r="I17" s="301"/>
      <c r="J17" s="301"/>
      <c r="K17" s="301"/>
      <c r="L17" s="301"/>
      <c r="M17" s="301"/>
      <c r="N17" s="301"/>
      <c r="O17" s="301"/>
      <c r="P17" s="328"/>
      <c r="Q17" s="338"/>
    </row>
    <row r="18" spans="1:20" ht="12" customHeight="1" x14ac:dyDescent="0.2">
      <c r="A18" s="333" t="s">
        <v>162</v>
      </c>
      <c r="B18" s="303" t="s">
        <v>163</v>
      </c>
      <c r="C18" s="303" t="s">
        <v>181</v>
      </c>
      <c r="D18" s="303" t="s">
        <v>182</v>
      </c>
      <c r="E18" s="303" t="s">
        <v>166</v>
      </c>
      <c r="F18" s="303" t="s">
        <v>183</v>
      </c>
      <c r="G18" s="301">
        <v>33819.800000000003</v>
      </c>
      <c r="H18" s="301">
        <v>35699.120000000003</v>
      </c>
      <c r="I18" s="301">
        <v>38500</v>
      </c>
      <c r="J18" s="301">
        <v>38500</v>
      </c>
      <c r="K18" s="301">
        <v>14058.71</v>
      </c>
      <c r="L18" s="301">
        <v>29500</v>
      </c>
      <c r="M18" s="301">
        <v>29500</v>
      </c>
      <c r="N18" s="301"/>
      <c r="O18" s="301"/>
      <c r="P18" s="328">
        <v>29500</v>
      </c>
      <c r="Q18" s="338"/>
    </row>
    <row r="19" spans="1:20" ht="12" customHeight="1" x14ac:dyDescent="0.2">
      <c r="A19" s="333" t="s">
        <v>162</v>
      </c>
      <c r="B19" s="303" t="s">
        <v>163</v>
      </c>
      <c r="C19" s="303" t="s">
        <v>181</v>
      </c>
      <c r="D19" s="303" t="s">
        <v>184</v>
      </c>
      <c r="E19" s="303" t="s">
        <v>166</v>
      </c>
      <c r="F19" s="303" t="s">
        <v>185</v>
      </c>
      <c r="G19" s="301">
        <v>93606.78</v>
      </c>
      <c r="H19" s="301">
        <v>92736.18</v>
      </c>
      <c r="I19" s="301">
        <v>97000</v>
      </c>
      <c r="J19" s="301">
        <v>97000</v>
      </c>
      <c r="K19" s="301">
        <v>47189.02</v>
      </c>
      <c r="L19" s="301">
        <v>94000</v>
      </c>
      <c r="M19" s="301">
        <v>94000</v>
      </c>
      <c r="N19" s="301"/>
      <c r="O19" s="301"/>
      <c r="P19" s="328">
        <v>94000</v>
      </c>
      <c r="Q19" s="338"/>
    </row>
    <row r="20" spans="1:20" ht="12" customHeight="1" x14ac:dyDescent="0.2">
      <c r="A20" s="333" t="s">
        <v>162</v>
      </c>
      <c r="B20" s="303" t="s">
        <v>163</v>
      </c>
      <c r="C20" s="303" t="s">
        <v>186</v>
      </c>
      <c r="D20" s="303" t="s">
        <v>187</v>
      </c>
      <c r="E20" s="303" t="s">
        <v>166</v>
      </c>
      <c r="F20" s="303" t="s">
        <v>188</v>
      </c>
      <c r="G20" s="301">
        <v>10191.73</v>
      </c>
      <c r="H20" s="301">
        <v>16037.78</v>
      </c>
      <c r="I20" s="301">
        <v>5000</v>
      </c>
      <c r="J20" s="301">
        <v>5000</v>
      </c>
      <c r="K20" s="301">
        <v>0</v>
      </c>
      <c r="L20" s="301">
        <v>7000</v>
      </c>
      <c r="M20" s="301">
        <v>3000</v>
      </c>
      <c r="N20" s="301"/>
      <c r="O20" s="301"/>
      <c r="P20" s="328">
        <v>3000</v>
      </c>
      <c r="Q20" s="338"/>
    </row>
    <row r="21" spans="1:20" ht="12" customHeight="1" x14ac:dyDescent="0.2">
      <c r="A21" s="333" t="s">
        <v>162</v>
      </c>
      <c r="B21" s="303" t="s">
        <v>163</v>
      </c>
      <c r="C21" s="303" t="s">
        <v>189</v>
      </c>
      <c r="D21" s="303" t="s">
        <v>190</v>
      </c>
      <c r="E21" s="303" t="s">
        <v>166</v>
      </c>
      <c r="F21" s="303" t="s">
        <v>191</v>
      </c>
      <c r="G21" s="301">
        <v>17.8</v>
      </c>
      <c r="H21" s="301"/>
      <c r="I21" s="301"/>
      <c r="J21" s="301"/>
      <c r="K21" s="301"/>
      <c r="L21" s="301"/>
      <c r="M21" s="301"/>
      <c r="N21" s="301"/>
      <c r="O21" s="301"/>
      <c r="P21" s="328"/>
      <c r="Q21" s="338"/>
    </row>
    <row r="22" spans="1:20" ht="12" customHeight="1" x14ac:dyDescent="0.2">
      <c r="A22" s="333" t="s">
        <v>162</v>
      </c>
      <c r="B22" s="303" t="s">
        <v>163</v>
      </c>
      <c r="C22" s="303" t="s">
        <v>189</v>
      </c>
      <c r="D22" s="303" t="s">
        <v>192</v>
      </c>
      <c r="E22" s="303" t="s">
        <v>166</v>
      </c>
      <c r="F22" s="303" t="s">
        <v>193</v>
      </c>
      <c r="G22" s="301">
        <v>12276.14</v>
      </c>
      <c r="H22" s="301">
        <v>15200.25</v>
      </c>
      <c r="I22" s="301">
        <v>15000</v>
      </c>
      <c r="J22" s="301">
        <v>15000</v>
      </c>
      <c r="K22" s="301">
        <v>7578.5</v>
      </c>
      <c r="L22" s="301">
        <v>15000</v>
      </c>
      <c r="M22" s="301">
        <v>15000</v>
      </c>
      <c r="N22" s="301"/>
      <c r="O22" s="301"/>
      <c r="P22" s="328">
        <v>15000</v>
      </c>
      <c r="Q22" s="338"/>
    </row>
    <row r="23" spans="1:20" ht="12" customHeight="1" x14ac:dyDescent="0.2">
      <c r="A23" s="333" t="s">
        <v>162</v>
      </c>
      <c r="B23" s="303" t="s">
        <v>163</v>
      </c>
      <c r="C23" s="303" t="s">
        <v>189</v>
      </c>
      <c r="D23" s="303" t="s">
        <v>194</v>
      </c>
      <c r="E23" s="303" t="s">
        <v>166</v>
      </c>
      <c r="F23" s="303" t="s">
        <v>195</v>
      </c>
      <c r="G23" s="301">
        <v>12124.66</v>
      </c>
      <c r="H23" s="301">
        <v>12166</v>
      </c>
      <c r="I23" s="301">
        <v>12000</v>
      </c>
      <c r="J23" s="301">
        <v>12000</v>
      </c>
      <c r="K23" s="301">
        <v>6000</v>
      </c>
      <c r="L23" s="301">
        <v>12000</v>
      </c>
      <c r="M23" s="301">
        <v>12000</v>
      </c>
      <c r="N23" s="301"/>
      <c r="O23" s="301"/>
      <c r="P23" s="328">
        <v>12000</v>
      </c>
      <c r="Q23" s="338"/>
    </row>
    <row r="24" spans="1:20" ht="12" customHeight="1" x14ac:dyDescent="0.2">
      <c r="A24" s="333" t="s">
        <v>162</v>
      </c>
      <c r="B24" s="303" t="s">
        <v>163</v>
      </c>
      <c r="C24" s="303" t="s">
        <v>196</v>
      </c>
      <c r="D24" s="303" t="s">
        <v>197</v>
      </c>
      <c r="E24" s="303" t="s">
        <v>166</v>
      </c>
      <c r="F24" s="303" t="s">
        <v>198</v>
      </c>
      <c r="G24" s="301">
        <v>20320.45</v>
      </c>
      <c r="H24" s="301">
        <v>29783.45</v>
      </c>
      <c r="I24" s="301">
        <v>35500</v>
      </c>
      <c r="J24" s="301">
        <v>35500</v>
      </c>
      <c r="K24" s="301">
        <v>6589.55</v>
      </c>
      <c r="L24" s="301">
        <v>27000</v>
      </c>
      <c r="M24" s="301">
        <v>27000</v>
      </c>
      <c r="N24" s="301"/>
      <c r="O24" s="301"/>
      <c r="P24" s="328">
        <v>27000</v>
      </c>
      <c r="Q24" s="338"/>
    </row>
    <row r="25" spans="1:20" ht="12" customHeight="1" x14ac:dyDescent="0.2">
      <c r="A25" s="333" t="s">
        <v>162</v>
      </c>
      <c r="B25" s="303" t="s">
        <v>163</v>
      </c>
      <c r="C25" s="303" t="s">
        <v>199</v>
      </c>
      <c r="D25" s="303" t="s">
        <v>165</v>
      </c>
      <c r="E25" s="303" t="s">
        <v>166</v>
      </c>
      <c r="F25" s="303" t="s">
        <v>200</v>
      </c>
      <c r="G25" s="301">
        <v>-50.97</v>
      </c>
      <c r="H25" s="301">
        <v>-225.36</v>
      </c>
      <c r="I25" s="301"/>
      <c r="J25" s="301"/>
      <c r="K25" s="301">
        <v>-139.82</v>
      </c>
      <c r="L25" s="301"/>
      <c r="M25" s="301"/>
      <c r="N25" s="301"/>
      <c r="O25" s="301"/>
      <c r="P25" s="328"/>
      <c r="Q25" s="338"/>
    </row>
    <row r="26" spans="1:20" ht="12" customHeight="1" x14ac:dyDescent="0.2">
      <c r="A26" s="333"/>
      <c r="B26" s="303"/>
      <c r="C26" s="303"/>
      <c r="D26" s="303"/>
      <c r="E26" s="303"/>
      <c r="F26" s="303"/>
      <c r="G26" s="301"/>
      <c r="H26" s="301"/>
      <c r="I26" s="301"/>
      <c r="J26" s="301"/>
      <c r="K26" s="301"/>
      <c r="L26" s="301"/>
      <c r="M26" s="301"/>
      <c r="N26" s="301"/>
      <c r="O26" s="301"/>
      <c r="P26" s="328"/>
      <c r="Q26" s="338"/>
    </row>
    <row r="27" spans="1:20" ht="12" customHeight="1" x14ac:dyDescent="0.2">
      <c r="A27" s="248" t="s">
        <v>10</v>
      </c>
      <c r="B27" s="24"/>
      <c r="C27" s="24"/>
      <c r="D27" s="24"/>
      <c r="E27" s="24"/>
      <c r="G27" s="277">
        <f t="shared" ref="G27:O27" si="1">SUM(G10:G26)</f>
        <v>7815198.120000001</v>
      </c>
      <c r="H27" s="277">
        <f t="shared" si="1"/>
        <v>7948415.8700000001</v>
      </c>
      <c r="I27" s="277">
        <f t="shared" si="1"/>
        <v>7992591</v>
      </c>
      <c r="J27" s="277">
        <f t="shared" si="1"/>
        <v>7992591</v>
      </c>
      <c r="K27" s="277">
        <f t="shared" si="1"/>
        <v>1251091.98</v>
      </c>
      <c r="L27" s="277">
        <f t="shared" si="1"/>
        <v>8057233</v>
      </c>
      <c r="M27" s="277">
        <f t="shared" si="1"/>
        <v>8196530</v>
      </c>
      <c r="N27" s="277">
        <f t="shared" si="1"/>
        <v>361533</v>
      </c>
      <c r="O27" s="277">
        <f t="shared" si="1"/>
        <v>222941.86000000002</v>
      </c>
      <c r="P27" s="329">
        <f t="shared" ref="P27" si="2">SUM(P10:P26)</f>
        <v>8196530</v>
      </c>
    </row>
    <row r="28" spans="1:20" ht="12" customHeight="1" x14ac:dyDescent="0.2">
      <c r="A28" s="247"/>
      <c r="P28" s="1"/>
      <c r="Q28" s="32" t="s">
        <v>157</v>
      </c>
      <c r="R28" s="33"/>
      <c r="S28" s="31"/>
      <c r="T28" s="31"/>
    </row>
    <row r="29" spans="1:20" ht="12" customHeight="1" x14ac:dyDescent="0.2">
      <c r="A29" s="23" t="s">
        <v>9</v>
      </c>
      <c r="P29" s="1"/>
      <c r="Q29" s="332" t="s">
        <v>62</v>
      </c>
      <c r="R29" s="272" t="s">
        <v>63</v>
      </c>
    </row>
    <row r="30" spans="1:20" ht="12" customHeight="1" x14ac:dyDescent="0.2">
      <c r="A30" s="333" t="s">
        <v>162</v>
      </c>
      <c r="B30" s="303" t="s">
        <v>163</v>
      </c>
      <c r="C30" s="303" t="s">
        <v>201</v>
      </c>
      <c r="D30" s="303" t="s">
        <v>202</v>
      </c>
      <c r="E30" s="303" t="s">
        <v>166</v>
      </c>
      <c r="F30" s="334" t="s">
        <v>203</v>
      </c>
      <c r="G30" s="301">
        <v>2892761.22</v>
      </c>
      <c r="H30" s="301">
        <v>2869708.36</v>
      </c>
      <c r="I30" s="301">
        <v>3163098</v>
      </c>
      <c r="J30" s="301">
        <v>3163098</v>
      </c>
      <c r="K30" s="301">
        <v>1394042.04</v>
      </c>
      <c r="L30" s="301">
        <v>3150000</v>
      </c>
      <c r="M30" s="302">
        <f>+'Personnel Costs'!J315</f>
        <v>3211751</v>
      </c>
      <c r="N30" s="302"/>
      <c r="O30" s="302"/>
      <c r="P30" s="324">
        <v>3211751</v>
      </c>
      <c r="Q30" s="267"/>
      <c r="R30" s="267"/>
    </row>
    <row r="31" spans="1:20" ht="12" customHeight="1" x14ac:dyDescent="0.2">
      <c r="A31" s="333" t="s">
        <v>162</v>
      </c>
      <c r="B31" s="303" t="s">
        <v>163</v>
      </c>
      <c r="C31" s="303" t="s">
        <v>201</v>
      </c>
      <c r="D31" s="303" t="s">
        <v>202</v>
      </c>
      <c r="E31" s="303" t="s">
        <v>204</v>
      </c>
      <c r="F31" s="334" t="s">
        <v>205</v>
      </c>
      <c r="G31" s="301">
        <v>8433.06</v>
      </c>
      <c r="H31" s="301">
        <v>8467.0300000000007</v>
      </c>
      <c r="I31" s="301">
        <v>8400</v>
      </c>
      <c r="J31" s="301">
        <v>8400</v>
      </c>
      <c r="K31" s="301">
        <v>3984.46</v>
      </c>
      <c r="L31" s="301">
        <v>8400</v>
      </c>
      <c r="M31" s="302">
        <f>+'Personnel Costs'!J320</f>
        <v>8400</v>
      </c>
      <c r="N31" s="302"/>
      <c r="O31" s="302"/>
      <c r="P31" s="324">
        <v>8400</v>
      </c>
      <c r="Q31" s="280"/>
      <c r="R31" s="280"/>
    </row>
    <row r="32" spans="1:20" ht="12" customHeight="1" x14ac:dyDescent="0.2">
      <c r="A32" s="333" t="s">
        <v>162</v>
      </c>
      <c r="B32" s="303" t="s">
        <v>163</v>
      </c>
      <c r="C32" s="303" t="s">
        <v>201</v>
      </c>
      <c r="D32" s="303" t="s">
        <v>202</v>
      </c>
      <c r="E32" s="303" t="s">
        <v>206</v>
      </c>
      <c r="F32" s="334" t="s">
        <v>207</v>
      </c>
      <c r="G32" s="301">
        <v>4182</v>
      </c>
      <c r="H32" s="301">
        <v>4097</v>
      </c>
      <c r="I32" s="301">
        <v>4680</v>
      </c>
      <c r="J32" s="301">
        <v>4680</v>
      </c>
      <c r="K32" s="301">
        <v>1921</v>
      </c>
      <c r="L32" s="301">
        <v>4680</v>
      </c>
      <c r="M32" s="298">
        <f>+'Personnel Costs'!J328</f>
        <v>5640</v>
      </c>
      <c r="N32" s="302"/>
      <c r="O32" s="302"/>
      <c r="P32" s="324">
        <v>5640</v>
      </c>
      <c r="Q32" s="280"/>
      <c r="R32" s="280"/>
      <c r="S32" s="300" t="s">
        <v>645</v>
      </c>
    </row>
    <row r="33" spans="1:18" ht="12" customHeight="1" x14ac:dyDescent="0.2">
      <c r="A33" s="333" t="s">
        <v>162</v>
      </c>
      <c r="B33" s="303" t="s">
        <v>163</v>
      </c>
      <c r="C33" s="303" t="s">
        <v>208</v>
      </c>
      <c r="D33" s="303" t="s">
        <v>209</v>
      </c>
      <c r="E33" s="303" t="s">
        <v>166</v>
      </c>
      <c r="F33" s="303" t="s">
        <v>210</v>
      </c>
      <c r="G33" s="301">
        <v>349377.97</v>
      </c>
      <c r="H33" s="301">
        <v>363767.42</v>
      </c>
      <c r="I33" s="301">
        <v>445914</v>
      </c>
      <c r="J33" s="301">
        <v>445914</v>
      </c>
      <c r="K33" s="301">
        <v>190207.04</v>
      </c>
      <c r="L33" s="301">
        <v>425000</v>
      </c>
      <c r="M33" s="302">
        <f>+'Personnel Costs'!T330</f>
        <v>422311</v>
      </c>
      <c r="N33" s="302"/>
      <c r="O33" s="302"/>
      <c r="P33" s="324">
        <v>464543</v>
      </c>
      <c r="Q33" s="280"/>
      <c r="R33" s="280"/>
    </row>
    <row r="34" spans="1:18" ht="12" customHeight="1" x14ac:dyDescent="0.2">
      <c r="A34" s="333" t="s">
        <v>162</v>
      </c>
      <c r="B34" s="303" t="s">
        <v>163</v>
      </c>
      <c r="C34" s="303" t="s">
        <v>208</v>
      </c>
      <c r="D34" s="303" t="s">
        <v>211</v>
      </c>
      <c r="E34" s="303" t="s">
        <v>166</v>
      </c>
      <c r="F34" s="303" t="s">
        <v>212</v>
      </c>
      <c r="G34" s="301">
        <v>16976.13</v>
      </c>
      <c r="H34" s="301">
        <v>16851.63</v>
      </c>
      <c r="I34" s="301">
        <v>18269</v>
      </c>
      <c r="J34" s="301">
        <v>18269</v>
      </c>
      <c r="K34" s="301">
        <v>8237.83</v>
      </c>
      <c r="L34" s="301">
        <v>17500</v>
      </c>
      <c r="M34" s="302">
        <f>+'Personnel Costs'!M330</f>
        <v>18395</v>
      </c>
      <c r="N34" s="302"/>
      <c r="O34" s="302"/>
      <c r="P34" s="324">
        <v>18395</v>
      </c>
      <c r="Q34" s="280"/>
      <c r="R34" s="280"/>
    </row>
    <row r="35" spans="1:18" ht="12" customHeight="1" x14ac:dyDescent="0.2">
      <c r="A35" s="333" t="s">
        <v>162</v>
      </c>
      <c r="B35" s="303" t="s">
        <v>163</v>
      </c>
      <c r="C35" s="303" t="s">
        <v>208</v>
      </c>
      <c r="D35" s="303" t="s">
        <v>213</v>
      </c>
      <c r="E35" s="303" t="s">
        <v>166</v>
      </c>
      <c r="F35" s="303" t="s">
        <v>214</v>
      </c>
      <c r="G35" s="301">
        <v>434023.22</v>
      </c>
      <c r="H35" s="301">
        <v>465342.15</v>
      </c>
      <c r="I35" s="301">
        <v>562934</v>
      </c>
      <c r="J35" s="301">
        <v>562934</v>
      </c>
      <c r="K35" s="301">
        <v>240583.06</v>
      </c>
      <c r="L35" s="301">
        <v>545000</v>
      </c>
      <c r="M35" s="302">
        <f>+'Personnel Costs'!L330</f>
        <v>600562</v>
      </c>
      <c r="N35" s="302"/>
      <c r="O35" s="302"/>
      <c r="P35" s="324">
        <v>582570</v>
      </c>
      <c r="Q35" s="280"/>
      <c r="R35" s="280"/>
    </row>
    <row r="36" spans="1:18" ht="12" customHeight="1" x14ac:dyDescent="0.2">
      <c r="A36" s="333" t="s">
        <v>162</v>
      </c>
      <c r="B36" s="303" t="s">
        <v>163</v>
      </c>
      <c r="C36" s="303" t="s">
        <v>208</v>
      </c>
      <c r="D36" s="303" t="s">
        <v>215</v>
      </c>
      <c r="E36" s="303" t="s">
        <v>166</v>
      </c>
      <c r="F36" s="303" t="s">
        <v>216</v>
      </c>
      <c r="G36" s="301">
        <v>220633.61</v>
      </c>
      <c r="H36" s="301">
        <v>217963.98</v>
      </c>
      <c r="I36" s="301">
        <v>242976</v>
      </c>
      <c r="J36" s="301">
        <v>242976</v>
      </c>
      <c r="K36" s="301">
        <v>106100.96</v>
      </c>
      <c r="L36" s="301">
        <v>229500</v>
      </c>
      <c r="M36" s="302">
        <f>+'Personnel Costs'!N330</f>
        <v>246774</v>
      </c>
      <c r="N36" s="302"/>
      <c r="O36" s="302"/>
      <c r="P36" s="324">
        <v>246774</v>
      </c>
      <c r="Q36" s="280"/>
      <c r="R36" s="280"/>
    </row>
    <row r="37" spans="1:18" ht="12" customHeight="1" x14ac:dyDescent="0.2">
      <c r="A37" s="333" t="s">
        <v>162</v>
      </c>
      <c r="B37" s="303" t="s">
        <v>163</v>
      </c>
      <c r="C37" s="303" t="s">
        <v>208</v>
      </c>
      <c r="D37" s="303" t="s">
        <v>217</v>
      </c>
      <c r="E37" s="303" t="s">
        <v>166</v>
      </c>
      <c r="F37" s="303" t="s">
        <v>218</v>
      </c>
      <c r="G37" s="301">
        <v>58103.15</v>
      </c>
      <c r="H37" s="301">
        <v>57646.19</v>
      </c>
      <c r="I37" s="301">
        <v>71164</v>
      </c>
      <c r="J37" s="301">
        <v>71164</v>
      </c>
      <c r="K37" s="301">
        <v>31416.880000000001</v>
      </c>
      <c r="L37" s="301">
        <v>67500</v>
      </c>
      <c r="M37" s="302">
        <f>+'Personnel Costs'!O330</f>
        <v>72273</v>
      </c>
      <c r="N37" s="302"/>
      <c r="O37" s="302"/>
      <c r="P37" s="324">
        <v>72273</v>
      </c>
      <c r="Q37" s="280"/>
      <c r="R37" s="280"/>
    </row>
    <row r="38" spans="1:18" ht="12" customHeight="1" x14ac:dyDescent="0.2">
      <c r="A38" s="333" t="s">
        <v>162</v>
      </c>
      <c r="B38" s="303" t="s">
        <v>163</v>
      </c>
      <c r="C38" s="303" t="s">
        <v>208</v>
      </c>
      <c r="D38" s="303" t="s">
        <v>219</v>
      </c>
      <c r="E38" s="303" t="s">
        <v>166</v>
      </c>
      <c r="F38" s="303" t="s">
        <v>220</v>
      </c>
      <c r="G38" s="301">
        <v>33410.79</v>
      </c>
      <c r="H38" s="301">
        <v>20378.29</v>
      </c>
      <c r="I38" s="301">
        <v>26895</v>
      </c>
      <c r="J38" s="301">
        <v>26895</v>
      </c>
      <c r="K38" s="301">
        <v>11849.84</v>
      </c>
      <c r="L38" s="301">
        <v>25500</v>
      </c>
      <c r="M38" s="302">
        <f>+'Personnel Costs'!P330</f>
        <v>27301</v>
      </c>
      <c r="N38" s="302"/>
      <c r="O38" s="302"/>
      <c r="P38" s="324">
        <v>27301</v>
      </c>
      <c r="Q38" s="280"/>
      <c r="R38" s="280"/>
    </row>
    <row r="39" spans="1:18" ht="12" customHeight="1" x14ac:dyDescent="0.2">
      <c r="A39" s="333" t="s">
        <v>162</v>
      </c>
      <c r="B39" s="303" t="s">
        <v>163</v>
      </c>
      <c r="C39" s="303" t="s">
        <v>221</v>
      </c>
      <c r="D39" s="303" t="s">
        <v>165</v>
      </c>
      <c r="E39" s="303" t="s">
        <v>166</v>
      </c>
      <c r="F39" s="294" t="s">
        <v>222</v>
      </c>
      <c r="G39" s="301">
        <v>35854.71</v>
      </c>
      <c r="H39" s="301">
        <v>32044.98</v>
      </c>
      <c r="I39" s="301">
        <v>49681</v>
      </c>
      <c r="J39" s="301">
        <v>49681</v>
      </c>
      <c r="K39" s="301">
        <v>14570.01</v>
      </c>
      <c r="L39" s="301">
        <v>22000</v>
      </c>
      <c r="M39" s="318">
        <v>48729</v>
      </c>
      <c r="N39" s="298"/>
      <c r="O39" s="298"/>
      <c r="P39" s="325">
        <v>52938</v>
      </c>
      <c r="Q39" s="280"/>
      <c r="R39" s="304">
        <v>-5000</v>
      </c>
    </row>
    <row r="40" spans="1:18" ht="12" customHeight="1" x14ac:dyDescent="0.2">
      <c r="A40" s="333" t="s">
        <v>162</v>
      </c>
      <c r="B40" s="303" t="s">
        <v>163</v>
      </c>
      <c r="C40" s="303" t="s">
        <v>221</v>
      </c>
      <c r="D40" s="303" t="s">
        <v>223</v>
      </c>
      <c r="E40" s="303" t="s">
        <v>166</v>
      </c>
      <c r="F40" s="294" t="s">
        <v>224</v>
      </c>
      <c r="G40" s="301"/>
      <c r="H40" s="301">
        <v>215.6</v>
      </c>
      <c r="I40" s="301">
        <v>250</v>
      </c>
      <c r="J40" s="301">
        <v>250</v>
      </c>
      <c r="K40" s="301"/>
      <c r="L40" s="301">
        <v>250</v>
      </c>
      <c r="M40" s="298">
        <v>300</v>
      </c>
      <c r="N40" s="298"/>
      <c r="O40" s="298"/>
      <c r="P40" s="324">
        <v>300</v>
      </c>
      <c r="Q40" s="280"/>
      <c r="R40" s="280"/>
    </row>
    <row r="41" spans="1:18" ht="12" customHeight="1" x14ac:dyDescent="0.2">
      <c r="A41" s="333" t="s">
        <v>162</v>
      </c>
      <c r="B41" s="303" t="s">
        <v>163</v>
      </c>
      <c r="C41" s="303" t="s">
        <v>221</v>
      </c>
      <c r="D41" s="303" t="s">
        <v>225</v>
      </c>
      <c r="E41" s="303" t="s">
        <v>166</v>
      </c>
      <c r="F41" s="294" t="s">
        <v>226</v>
      </c>
      <c r="G41" s="301"/>
      <c r="H41" s="301">
        <v>3321.4</v>
      </c>
      <c r="I41" s="301">
        <v>4500</v>
      </c>
      <c r="J41" s="301">
        <v>4500</v>
      </c>
      <c r="K41" s="301"/>
      <c r="L41" s="301">
        <v>6000</v>
      </c>
      <c r="M41" s="298">
        <v>1000</v>
      </c>
      <c r="N41" s="298"/>
      <c r="O41" s="298"/>
      <c r="P41" s="324">
        <v>1000</v>
      </c>
      <c r="Q41" s="280"/>
      <c r="R41" s="280"/>
    </row>
    <row r="42" spans="1:18" ht="12" customHeight="1" x14ac:dyDescent="0.2">
      <c r="A42" s="333" t="s">
        <v>162</v>
      </c>
      <c r="B42" s="303" t="s">
        <v>163</v>
      </c>
      <c r="C42" s="303" t="s">
        <v>221</v>
      </c>
      <c r="D42" s="303" t="s">
        <v>227</v>
      </c>
      <c r="E42" s="303" t="s">
        <v>166</v>
      </c>
      <c r="F42" s="294" t="s">
        <v>228</v>
      </c>
      <c r="G42" s="301"/>
      <c r="H42" s="301">
        <v>5075.7700000000004</v>
      </c>
      <c r="I42" s="301"/>
      <c r="J42" s="301"/>
      <c r="K42" s="301"/>
      <c r="L42" s="301">
        <v>1500</v>
      </c>
      <c r="M42" s="298">
        <v>1000</v>
      </c>
      <c r="N42" s="298"/>
      <c r="O42" s="298"/>
      <c r="P42" s="324">
        <v>1000</v>
      </c>
      <c r="Q42" s="280"/>
      <c r="R42" s="280"/>
    </row>
    <row r="43" spans="1:18" ht="12" customHeight="1" x14ac:dyDescent="0.2">
      <c r="A43" s="333" t="s">
        <v>162</v>
      </c>
      <c r="B43" s="303" t="s">
        <v>163</v>
      </c>
      <c r="C43" s="303" t="s">
        <v>221</v>
      </c>
      <c r="D43" s="303" t="s">
        <v>229</v>
      </c>
      <c r="E43" s="303" t="s">
        <v>166</v>
      </c>
      <c r="F43" s="294" t="s">
        <v>230</v>
      </c>
      <c r="G43" s="301"/>
      <c r="H43" s="301">
        <v>579</v>
      </c>
      <c r="I43" s="301">
        <v>500</v>
      </c>
      <c r="J43" s="301">
        <v>500</v>
      </c>
      <c r="K43" s="301"/>
      <c r="L43" s="301">
        <v>900</v>
      </c>
      <c r="M43" s="298">
        <v>200</v>
      </c>
      <c r="N43" s="298"/>
      <c r="O43" s="298"/>
      <c r="P43" s="324">
        <v>200</v>
      </c>
      <c r="Q43" s="280"/>
      <c r="R43" s="280"/>
    </row>
    <row r="44" spans="1:18" ht="12" customHeight="1" x14ac:dyDescent="0.2">
      <c r="A44" s="333" t="s">
        <v>162</v>
      </c>
      <c r="B44" s="303" t="s">
        <v>163</v>
      </c>
      <c r="C44" s="303" t="s">
        <v>231</v>
      </c>
      <c r="D44" s="303" t="s">
        <v>165</v>
      </c>
      <c r="E44" s="303" t="s">
        <v>166</v>
      </c>
      <c r="F44" s="294" t="s">
        <v>232</v>
      </c>
      <c r="G44" s="301">
        <v>25578.09</v>
      </c>
      <c r="H44" s="301">
        <v>35397.75</v>
      </c>
      <c r="I44" s="301">
        <v>63378</v>
      </c>
      <c r="J44" s="301">
        <v>63378</v>
      </c>
      <c r="K44" s="301">
        <v>19485.25</v>
      </c>
      <c r="L44" s="301">
        <v>50000</v>
      </c>
      <c r="M44" s="319">
        <v>56040.587</v>
      </c>
      <c r="N44" s="298"/>
      <c r="O44" s="298"/>
      <c r="P44" s="326">
        <v>56040.587</v>
      </c>
      <c r="Q44" s="280"/>
      <c r="R44" s="280"/>
    </row>
    <row r="45" spans="1:18" ht="12" customHeight="1" x14ac:dyDescent="0.2">
      <c r="A45" s="333" t="s">
        <v>162</v>
      </c>
      <c r="B45" s="303" t="s">
        <v>163</v>
      </c>
      <c r="C45" s="303" t="s">
        <v>231</v>
      </c>
      <c r="D45" s="303" t="s">
        <v>233</v>
      </c>
      <c r="E45" s="303" t="s">
        <v>166</v>
      </c>
      <c r="F45" s="294" t="s">
        <v>234</v>
      </c>
      <c r="G45" s="301">
        <v>5490.49</v>
      </c>
      <c r="H45" s="301">
        <v>18948.52</v>
      </c>
      <c r="I45" s="301">
        <v>27696</v>
      </c>
      <c r="J45" s="301">
        <v>27696</v>
      </c>
      <c r="K45" s="301">
        <v>2006.64</v>
      </c>
      <c r="L45" s="301">
        <v>24000</v>
      </c>
      <c r="M45" s="319">
        <v>24093.739999999998</v>
      </c>
      <c r="N45" s="298"/>
      <c r="O45" s="298"/>
      <c r="P45" s="326">
        <v>24093.74</v>
      </c>
      <c r="Q45" s="280"/>
      <c r="R45" s="304">
        <v>-3000</v>
      </c>
    </row>
    <row r="46" spans="1:18" ht="12" customHeight="1" x14ac:dyDescent="0.2">
      <c r="A46" s="333" t="s">
        <v>162</v>
      </c>
      <c r="B46" s="303" t="s">
        <v>163</v>
      </c>
      <c r="C46" s="303" t="s">
        <v>235</v>
      </c>
      <c r="D46" s="303" t="s">
        <v>165</v>
      </c>
      <c r="E46" s="303" t="s">
        <v>166</v>
      </c>
      <c r="F46" s="294" t="s">
        <v>236</v>
      </c>
      <c r="G46" s="301">
        <v>3365.82</v>
      </c>
      <c r="H46" s="301">
        <v>4306.83</v>
      </c>
      <c r="I46" s="301">
        <v>1488</v>
      </c>
      <c r="J46" s="301">
        <v>1488</v>
      </c>
      <c r="K46" s="301">
        <v>944.71</v>
      </c>
      <c r="L46" s="301">
        <v>1488</v>
      </c>
      <c r="M46" s="319">
        <v>1488</v>
      </c>
      <c r="N46" s="298"/>
      <c r="O46" s="298"/>
      <c r="P46" s="326">
        <v>1488</v>
      </c>
      <c r="Q46" s="280"/>
      <c r="R46" s="280"/>
    </row>
    <row r="47" spans="1:18" ht="12" customHeight="1" x14ac:dyDescent="0.2">
      <c r="A47" s="333" t="s">
        <v>162</v>
      </c>
      <c r="B47" s="303" t="s">
        <v>163</v>
      </c>
      <c r="C47" s="303" t="s">
        <v>237</v>
      </c>
      <c r="D47" s="303" t="s">
        <v>165</v>
      </c>
      <c r="E47" s="303" t="s">
        <v>166</v>
      </c>
      <c r="F47" s="294" t="s">
        <v>238</v>
      </c>
      <c r="G47" s="301">
        <v>139585.54999999999</v>
      </c>
      <c r="H47" s="301">
        <v>133513.24</v>
      </c>
      <c r="I47" s="301">
        <v>85757</v>
      </c>
      <c r="J47" s="301">
        <v>85757</v>
      </c>
      <c r="K47" s="301">
        <v>27492.73</v>
      </c>
      <c r="L47" s="301">
        <v>83000</v>
      </c>
      <c r="M47" s="319">
        <v>79542.009999999995</v>
      </c>
      <c r="N47" s="298"/>
      <c r="O47" s="298"/>
      <c r="P47" s="326">
        <v>79542.009999999995</v>
      </c>
      <c r="Q47" s="280"/>
      <c r="R47" s="280"/>
    </row>
    <row r="48" spans="1:18" ht="12" customHeight="1" x14ac:dyDescent="0.2">
      <c r="A48" s="333" t="s">
        <v>162</v>
      </c>
      <c r="B48" s="303" t="s">
        <v>163</v>
      </c>
      <c r="C48" s="303" t="s">
        <v>237</v>
      </c>
      <c r="D48" s="303" t="s">
        <v>239</v>
      </c>
      <c r="E48" s="303" t="s">
        <v>166</v>
      </c>
      <c r="F48" s="294" t="s">
        <v>240</v>
      </c>
      <c r="G48" s="301">
        <v>2402.04</v>
      </c>
      <c r="H48" s="301">
        <v>344</v>
      </c>
      <c r="I48" s="301">
        <v>2880</v>
      </c>
      <c r="J48" s="301">
        <v>2880</v>
      </c>
      <c r="K48" s="301">
        <v>187.54</v>
      </c>
      <c r="L48" s="301">
        <v>2500</v>
      </c>
      <c r="M48" s="319">
        <v>2879.5</v>
      </c>
      <c r="N48" s="298"/>
      <c r="O48" s="298"/>
      <c r="P48" s="326">
        <v>2879.5</v>
      </c>
      <c r="Q48" s="280"/>
      <c r="R48" s="280"/>
    </row>
    <row r="49" spans="1:20" ht="12" customHeight="1" x14ac:dyDescent="0.2">
      <c r="A49" s="333" t="s">
        <v>162</v>
      </c>
      <c r="B49" s="303" t="s">
        <v>163</v>
      </c>
      <c r="C49" s="303" t="s">
        <v>241</v>
      </c>
      <c r="D49" s="303" t="s">
        <v>165</v>
      </c>
      <c r="E49" s="303" t="s">
        <v>166</v>
      </c>
      <c r="F49" s="294" t="s">
        <v>242</v>
      </c>
      <c r="G49" s="301">
        <v>207543.15</v>
      </c>
      <c r="H49" s="301">
        <v>215556.63</v>
      </c>
      <c r="I49" s="301">
        <v>251826</v>
      </c>
      <c r="J49" s="301">
        <v>251826</v>
      </c>
      <c r="K49" s="301">
        <v>60512.38</v>
      </c>
      <c r="L49" s="301">
        <v>250000</v>
      </c>
      <c r="M49" s="319">
        <v>231736.58999999997</v>
      </c>
      <c r="N49" s="298"/>
      <c r="O49" s="298"/>
      <c r="P49" s="326">
        <v>231736.58999999997</v>
      </c>
      <c r="Q49" s="280"/>
      <c r="R49" s="280"/>
    </row>
    <row r="50" spans="1:20" ht="12" customHeight="1" x14ac:dyDescent="0.2">
      <c r="A50" s="333" t="s">
        <v>162</v>
      </c>
      <c r="B50" s="303" t="s">
        <v>163</v>
      </c>
      <c r="C50" s="303" t="s">
        <v>243</v>
      </c>
      <c r="D50" s="303" t="s">
        <v>165</v>
      </c>
      <c r="E50" s="303" t="s">
        <v>166</v>
      </c>
      <c r="F50" s="294" t="s">
        <v>244</v>
      </c>
      <c r="G50" s="301">
        <v>236572.34</v>
      </c>
      <c r="H50" s="301">
        <v>260061.91</v>
      </c>
      <c r="I50" s="301">
        <v>266442</v>
      </c>
      <c r="J50" s="301">
        <v>266442</v>
      </c>
      <c r="K50" s="301">
        <v>107771.22</v>
      </c>
      <c r="L50" s="301">
        <v>265000</v>
      </c>
      <c r="M50" s="319">
        <v>268741.20999999996</v>
      </c>
      <c r="N50" s="298"/>
      <c r="O50" s="298"/>
      <c r="P50" s="327">
        <v>268741.20999999996</v>
      </c>
      <c r="Q50" s="280"/>
      <c r="R50" s="280"/>
    </row>
    <row r="51" spans="1:20" ht="12" customHeight="1" x14ac:dyDescent="0.2">
      <c r="A51" s="333" t="s">
        <v>162</v>
      </c>
      <c r="B51" s="303" t="s">
        <v>163</v>
      </c>
      <c r="C51" s="303" t="s">
        <v>245</v>
      </c>
      <c r="D51" s="303" t="s">
        <v>165</v>
      </c>
      <c r="E51" s="303" t="s">
        <v>166</v>
      </c>
      <c r="F51" s="294" t="s">
        <v>246</v>
      </c>
      <c r="G51" s="301">
        <v>36700.449999999997</v>
      </c>
      <c r="H51" s="301">
        <v>31049.61</v>
      </c>
      <c r="I51" s="301">
        <v>50350</v>
      </c>
      <c r="J51" s="301">
        <v>50350</v>
      </c>
      <c r="K51" s="301">
        <v>14050.21</v>
      </c>
      <c r="L51" s="301">
        <v>49500</v>
      </c>
      <c r="M51" s="319">
        <v>50549.96</v>
      </c>
      <c r="N51" s="298"/>
      <c r="O51" s="298"/>
      <c r="P51" s="327">
        <v>50549.96</v>
      </c>
      <c r="Q51" s="280"/>
      <c r="R51" s="280"/>
    </row>
    <row r="52" spans="1:20" ht="12" customHeight="1" x14ac:dyDescent="0.2">
      <c r="A52" s="333" t="s">
        <v>162</v>
      </c>
      <c r="B52" s="303" t="s">
        <v>163</v>
      </c>
      <c r="C52" s="303" t="s">
        <v>247</v>
      </c>
      <c r="D52" s="303" t="s">
        <v>165</v>
      </c>
      <c r="E52" s="303" t="s">
        <v>166</v>
      </c>
      <c r="F52" s="294" t="s">
        <v>248</v>
      </c>
      <c r="G52" s="301">
        <v>169936.09</v>
      </c>
      <c r="H52" s="301">
        <v>327849.08</v>
      </c>
      <c r="I52" s="301">
        <v>508039</v>
      </c>
      <c r="J52" s="301">
        <v>553239</v>
      </c>
      <c r="K52" s="301">
        <v>333427.8</v>
      </c>
      <c r="L52" s="301">
        <v>553000</v>
      </c>
      <c r="M52" s="319">
        <v>583700.16</v>
      </c>
      <c r="N52" s="298"/>
      <c r="O52" s="298"/>
      <c r="P52" s="327">
        <v>583700.26</v>
      </c>
      <c r="Q52" s="280"/>
      <c r="R52" s="280"/>
    </row>
    <row r="53" spans="1:20" ht="12" customHeight="1" x14ac:dyDescent="0.2">
      <c r="A53" s="333" t="s">
        <v>162</v>
      </c>
      <c r="B53" s="303" t="s">
        <v>163</v>
      </c>
      <c r="C53" s="303" t="s">
        <v>249</v>
      </c>
      <c r="D53" s="303" t="s">
        <v>165</v>
      </c>
      <c r="E53" s="303" t="s">
        <v>166</v>
      </c>
      <c r="F53" s="294" t="s">
        <v>250</v>
      </c>
      <c r="G53" s="301">
        <v>288360.08</v>
      </c>
      <c r="H53" s="301">
        <v>226010.17</v>
      </c>
      <c r="I53" s="301">
        <v>204721</v>
      </c>
      <c r="J53" s="301">
        <v>204721</v>
      </c>
      <c r="K53" s="301">
        <v>101287.89</v>
      </c>
      <c r="L53" s="301">
        <v>198000</v>
      </c>
      <c r="M53" s="319">
        <v>217201.13999999998</v>
      </c>
      <c r="N53" s="298"/>
      <c r="O53" s="298"/>
      <c r="P53" s="327">
        <v>217201.14</v>
      </c>
      <c r="Q53" s="280"/>
      <c r="R53" s="304">
        <v>-4000</v>
      </c>
    </row>
    <row r="54" spans="1:20" ht="12" customHeight="1" x14ac:dyDescent="0.2">
      <c r="A54" s="333" t="s">
        <v>162</v>
      </c>
      <c r="B54" s="303" t="s">
        <v>163</v>
      </c>
      <c r="C54" s="303" t="s">
        <v>251</v>
      </c>
      <c r="D54" s="303" t="s">
        <v>252</v>
      </c>
      <c r="E54" s="303" t="s">
        <v>166</v>
      </c>
      <c r="F54" s="294" t="s">
        <v>253</v>
      </c>
      <c r="G54" s="301">
        <v>136928</v>
      </c>
      <c r="H54" s="301">
        <v>145016</v>
      </c>
      <c r="I54" s="301">
        <v>150000</v>
      </c>
      <c r="J54" s="301">
        <v>150000</v>
      </c>
      <c r="K54" s="301"/>
      <c r="L54" s="301">
        <v>150000</v>
      </c>
      <c r="M54" s="298">
        <v>150000</v>
      </c>
      <c r="N54" s="298"/>
      <c r="O54" s="298"/>
      <c r="P54" s="324">
        <v>150000</v>
      </c>
      <c r="Q54" s="280"/>
      <c r="R54" s="280"/>
      <c r="T54" s="296"/>
    </row>
    <row r="55" spans="1:20" ht="12" customHeight="1" x14ac:dyDescent="0.2">
      <c r="A55" s="333" t="s">
        <v>162</v>
      </c>
      <c r="B55" s="303" t="s">
        <v>163</v>
      </c>
      <c r="C55" s="303" t="s">
        <v>254</v>
      </c>
      <c r="D55" s="303" t="s">
        <v>255</v>
      </c>
      <c r="E55" s="303" t="s">
        <v>166</v>
      </c>
      <c r="F55" s="294" t="s">
        <v>256</v>
      </c>
      <c r="G55" s="301">
        <v>0</v>
      </c>
      <c r="H55" s="301">
        <v>0</v>
      </c>
      <c r="I55" s="301"/>
      <c r="J55" s="301"/>
      <c r="K55" s="301">
        <v>0</v>
      </c>
      <c r="L55" s="301"/>
      <c r="M55" s="298"/>
      <c r="N55" s="298"/>
      <c r="O55" s="298"/>
      <c r="P55" s="324"/>
      <c r="Q55" s="280"/>
      <c r="R55" s="280"/>
    </row>
    <row r="56" spans="1:20" ht="12" customHeight="1" x14ac:dyDescent="0.2">
      <c r="A56" s="333" t="s">
        <v>162</v>
      </c>
      <c r="B56" s="303" t="s">
        <v>163</v>
      </c>
      <c r="C56" s="303" t="s">
        <v>257</v>
      </c>
      <c r="D56" s="303" t="s">
        <v>165</v>
      </c>
      <c r="E56" s="303" t="s">
        <v>166</v>
      </c>
      <c r="F56" s="294" t="s">
        <v>258</v>
      </c>
      <c r="G56" s="301">
        <v>147743.4</v>
      </c>
      <c r="H56" s="301">
        <v>208085.9</v>
      </c>
      <c r="I56" s="301">
        <v>543750</v>
      </c>
      <c r="J56" s="301">
        <v>641698</v>
      </c>
      <c r="K56" s="301">
        <v>88253.03</v>
      </c>
      <c r="L56" s="301">
        <v>543750</v>
      </c>
      <c r="M56" s="320">
        <v>40248</v>
      </c>
      <c r="N56" s="298"/>
      <c r="O56" s="298"/>
      <c r="P56" s="327">
        <v>40248</v>
      </c>
      <c r="Q56" s="280"/>
      <c r="R56" s="280"/>
      <c r="T56" s="297"/>
    </row>
    <row r="57" spans="1:20" ht="12" customHeight="1" x14ac:dyDescent="0.2">
      <c r="A57" s="333" t="s">
        <v>162</v>
      </c>
      <c r="B57" s="303" t="s">
        <v>163</v>
      </c>
      <c r="C57" s="303" t="s">
        <v>259</v>
      </c>
      <c r="D57" s="303" t="s">
        <v>165</v>
      </c>
      <c r="E57" s="303" t="s">
        <v>166</v>
      </c>
      <c r="F57" s="294" t="s">
        <v>260</v>
      </c>
      <c r="G57" s="301">
        <v>90124.87</v>
      </c>
      <c r="H57" s="301">
        <v>192318.75</v>
      </c>
      <c r="I57" s="301">
        <v>102683</v>
      </c>
      <c r="J57" s="301">
        <v>102683</v>
      </c>
      <c r="K57" s="301">
        <v>42025.45</v>
      </c>
      <c r="L57" s="301">
        <v>45454</v>
      </c>
      <c r="M57" s="319">
        <v>52989</v>
      </c>
      <c r="N57" s="298"/>
      <c r="O57" s="298"/>
      <c r="P57" s="327">
        <v>52989</v>
      </c>
      <c r="Q57" s="280"/>
      <c r="R57" s="280"/>
    </row>
    <row r="58" spans="1:20" ht="12" customHeight="1" x14ac:dyDescent="0.2">
      <c r="A58" s="333" t="s">
        <v>162</v>
      </c>
      <c r="B58" s="303" t="s">
        <v>163</v>
      </c>
      <c r="C58" s="303" t="s">
        <v>261</v>
      </c>
      <c r="D58" s="303" t="s">
        <v>165</v>
      </c>
      <c r="E58" s="303" t="s">
        <v>166</v>
      </c>
      <c r="F58" s="303" t="s">
        <v>262</v>
      </c>
      <c r="G58" s="301">
        <v>214156.93</v>
      </c>
      <c r="H58" s="301">
        <v>66955.45</v>
      </c>
      <c r="I58" s="301">
        <v>52096</v>
      </c>
      <c r="J58" s="301">
        <v>52096</v>
      </c>
      <c r="K58" s="301">
        <v>79722.61</v>
      </c>
      <c r="L58" s="301">
        <v>81000</v>
      </c>
      <c r="M58" s="320">
        <v>23517.5</v>
      </c>
      <c r="N58" s="298"/>
      <c r="O58" s="298"/>
      <c r="P58" s="327">
        <v>23517.5</v>
      </c>
      <c r="Q58" s="280"/>
      <c r="R58" s="280"/>
    </row>
    <row r="59" spans="1:20" ht="12" customHeight="1" x14ac:dyDescent="0.2">
      <c r="A59" s="333" t="s">
        <v>162</v>
      </c>
      <c r="B59" s="303" t="s">
        <v>163</v>
      </c>
      <c r="C59" s="303" t="s">
        <v>261</v>
      </c>
      <c r="D59" s="303" t="s">
        <v>165</v>
      </c>
      <c r="E59" s="303" t="s">
        <v>263</v>
      </c>
      <c r="F59" s="303" t="s">
        <v>264</v>
      </c>
      <c r="G59" s="301">
        <v>11590</v>
      </c>
      <c r="H59" s="301"/>
      <c r="I59" s="301"/>
      <c r="J59" s="301"/>
      <c r="K59" s="301"/>
      <c r="L59" s="301"/>
      <c r="M59" s="298">
        <v>0</v>
      </c>
      <c r="N59" s="298"/>
      <c r="O59" s="298"/>
      <c r="P59" s="324">
        <v>0</v>
      </c>
      <c r="Q59" s="280"/>
      <c r="R59" s="280"/>
    </row>
    <row r="60" spans="1:20" ht="12" customHeight="1" x14ac:dyDescent="0.2">
      <c r="A60" s="333" t="s">
        <v>162</v>
      </c>
      <c r="B60" s="303" t="s">
        <v>163</v>
      </c>
      <c r="C60" s="303" t="s">
        <v>261</v>
      </c>
      <c r="D60" s="303" t="s">
        <v>165</v>
      </c>
      <c r="E60" s="303" t="s">
        <v>177</v>
      </c>
      <c r="F60" s="303" t="s">
        <v>265</v>
      </c>
      <c r="G60" s="301"/>
      <c r="H60" s="301"/>
      <c r="I60" s="301"/>
      <c r="J60" s="301"/>
      <c r="K60" s="301">
        <v>20355.419999999998</v>
      </c>
      <c r="L60" s="301">
        <v>34835</v>
      </c>
      <c r="M60" s="298"/>
      <c r="N60" s="298"/>
      <c r="O60" s="298"/>
      <c r="P60" s="324"/>
      <c r="Q60" s="280"/>
      <c r="R60" s="280"/>
    </row>
    <row r="61" spans="1:20" ht="12" customHeight="1" x14ac:dyDescent="0.2">
      <c r="A61" s="333" t="s">
        <v>162</v>
      </c>
      <c r="B61" s="303" t="s">
        <v>163</v>
      </c>
      <c r="C61" s="303" t="s">
        <v>266</v>
      </c>
      <c r="D61" s="303" t="s">
        <v>165</v>
      </c>
      <c r="E61" s="303" t="s">
        <v>166</v>
      </c>
      <c r="F61" s="303" t="s">
        <v>267</v>
      </c>
      <c r="G61" s="301">
        <v>1011558.53</v>
      </c>
      <c r="H61" s="301">
        <v>1106919.47</v>
      </c>
      <c r="I61" s="301">
        <v>1289779</v>
      </c>
      <c r="J61" s="301">
        <v>1289779</v>
      </c>
      <c r="K61" s="301">
        <v>308310.77</v>
      </c>
      <c r="L61" s="301">
        <v>1289000</v>
      </c>
      <c r="M61" s="320">
        <v>1489779</v>
      </c>
      <c r="N61" s="298"/>
      <c r="O61" s="298"/>
      <c r="P61" s="327">
        <v>1489779</v>
      </c>
      <c r="Q61" s="304">
        <v>-85810</v>
      </c>
      <c r="R61" s="304">
        <v>-245429</v>
      </c>
    </row>
    <row r="62" spans="1:20" ht="12" customHeight="1" x14ac:dyDescent="0.2">
      <c r="A62" s="333" t="s">
        <v>162</v>
      </c>
      <c r="B62" s="303" t="s">
        <v>163</v>
      </c>
      <c r="C62" s="303" t="s">
        <v>268</v>
      </c>
      <c r="D62" s="303" t="s">
        <v>269</v>
      </c>
      <c r="E62" s="303" t="s">
        <v>166</v>
      </c>
      <c r="F62" s="303" t="s">
        <v>270</v>
      </c>
      <c r="G62" s="301">
        <v>527650</v>
      </c>
      <c r="H62" s="301">
        <v>542150</v>
      </c>
      <c r="I62" s="301">
        <v>531150</v>
      </c>
      <c r="J62" s="301">
        <v>531150</v>
      </c>
      <c r="K62" s="301"/>
      <c r="L62" s="301">
        <v>531150</v>
      </c>
      <c r="M62" s="298">
        <v>531150</v>
      </c>
      <c r="N62" s="298"/>
      <c r="O62" s="298"/>
      <c r="P62" s="324">
        <v>531150</v>
      </c>
      <c r="Q62" s="280"/>
      <c r="R62" s="280"/>
    </row>
    <row r="63" spans="1:20" ht="12" customHeight="1" x14ac:dyDescent="0.2">
      <c r="A63" s="333" t="s">
        <v>162</v>
      </c>
      <c r="B63" s="303" t="s">
        <v>163</v>
      </c>
      <c r="C63" s="303" t="s">
        <v>271</v>
      </c>
      <c r="D63" s="303" t="s">
        <v>272</v>
      </c>
      <c r="E63" s="303" t="s">
        <v>166</v>
      </c>
      <c r="F63" s="303" t="s">
        <v>273</v>
      </c>
      <c r="G63" s="301">
        <v>79974</v>
      </c>
      <c r="H63" s="301">
        <v>62543.040000000001</v>
      </c>
      <c r="I63" s="301">
        <v>88437</v>
      </c>
      <c r="J63" s="301">
        <v>88437</v>
      </c>
      <c r="K63" s="301">
        <v>44220</v>
      </c>
      <c r="L63" s="301">
        <v>88437</v>
      </c>
      <c r="M63" s="302">
        <v>88437</v>
      </c>
      <c r="N63" s="302"/>
      <c r="O63" s="302"/>
      <c r="P63" s="324">
        <v>88437</v>
      </c>
      <c r="Q63" s="280"/>
      <c r="R63" s="280"/>
    </row>
    <row r="64" spans="1:20" ht="12" customHeight="1" x14ac:dyDescent="0.2">
      <c r="A64" s="333"/>
      <c r="B64" s="303"/>
      <c r="C64" s="303"/>
      <c r="D64" s="303"/>
      <c r="E64" s="303"/>
      <c r="F64" s="295"/>
      <c r="G64" s="301"/>
      <c r="H64" s="301"/>
      <c r="I64" s="301"/>
      <c r="J64" s="301"/>
      <c r="K64" s="301"/>
      <c r="L64" s="301"/>
      <c r="M64" s="301"/>
      <c r="N64" s="301"/>
      <c r="O64" s="301"/>
      <c r="P64" s="328"/>
      <c r="Q64" s="302"/>
      <c r="R64" s="302"/>
    </row>
    <row r="65" spans="1:18" ht="12" customHeight="1" x14ac:dyDescent="0.2">
      <c r="A65" s="335" t="s">
        <v>11</v>
      </c>
      <c r="B65" s="336"/>
      <c r="C65" s="336"/>
      <c r="D65" s="336"/>
      <c r="E65" s="336"/>
      <c r="F65" s="303"/>
      <c r="G65" s="301">
        <f t="shared" ref="G65:O65" si="3">SUM(G29:G64)</f>
        <v>7389015.6900000004</v>
      </c>
      <c r="H65" s="301">
        <f t="shared" si="3"/>
        <v>7642485.1500000004</v>
      </c>
      <c r="I65" s="301">
        <f t="shared" si="3"/>
        <v>8819733</v>
      </c>
      <c r="J65" s="301">
        <f t="shared" si="3"/>
        <v>8962881</v>
      </c>
      <c r="K65" s="301">
        <f t="shared" si="3"/>
        <v>3252966.77</v>
      </c>
      <c r="L65" s="301">
        <f t="shared" si="3"/>
        <v>8743844</v>
      </c>
      <c r="M65" s="301">
        <f t="shared" si="3"/>
        <v>8556729.3969999999</v>
      </c>
      <c r="N65" s="301">
        <f t="shared" si="3"/>
        <v>0</v>
      </c>
      <c r="O65" s="301">
        <f t="shared" si="3"/>
        <v>0</v>
      </c>
      <c r="P65" s="328">
        <f t="shared" ref="P65" si="4">SUM(P29:P64)</f>
        <v>8585178.4969999995</v>
      </c>
      <c r="Q65" s="337">
        <f>SUM(Q30:Q64)</f>
        <v>-85810</v>
      </c>
      <c r="R65" s="337">
        <f>SUM(R30:R64)</f>
        <v>-257429</v>
      </c>
    </row>
    <row r="66" spans="1:18" ht="16.5" customHeight="1" x14ac:dyDescent="0.2">
      <c r="A66" s="333" t="s">
        <v>12</v>
      </c>
      <c r="B66" s="303"/>
      <c r="C66" s="303"/>
      <c r="D66" s="303"/>
      <c r="E66" s="303"/>
      <c r="F66" s="303"/>
      <c r="G66" s="301">
        <f t="shared" ref="G66:O66" si="5">+G27-G65</f>
        <v>426182.43000000063</v>
      </c>
      <c r="H66" s="301">
        <f t="shared" si="5"/>
        <v>305930.71999999974</v>
      </c>
      <c r="I66" s="301">
        <f t="shared" si="5"/>
        <v>-827142</v>
      </c>
      <c r="J66" s="301">
        <f t="shared" si="5"/>
        <v>-970290</v>
      </c>
      <c r="K66" s="301">
        <f t="shared" si="5"/>
        <v>-2001874.79</v>
      </c>
      <c r="L66" s="301">
        <f t="shared" si="5"/>
        <v>-686611</v>
      </c>
      <c r="M66" s="301">
        <f t="shared" si="5"/>
        <v>-360199.39699999988</v>
      </c>
      <c r="N66" s="301">
        <f t="shared" si="5"/>
        <v>361533</v>
      </c>
      <c r="O66" s="301">
        <f t="shared" si="5"/>
        <v>222941.86000000002</v>
      </c>
      <c r="P66" s="328">
        <f t="shared" ref="P66" si="6">+P27-P65</f>
        <v>-388648.49699999951</v>
      </c>
      <c r="Q66" s="265">
        <f>-0.01*SUM(M30:M64)</f>
        <v>-85567.293969999999</v>
      </c>
      <c r="R66" s="265">
        <f>-0.03*SUM(M30:M64)</f>
        <v>-256701.88191</v>
      </c>
    </row>
    <row r="67" spans="1:18" x14ac:dyDescent="0.2">
      <c r="A67" s="247"/>
      <c r="P67" s="330"/>
      <c r="Q67" s="273" t="s">
        <v>67</v>
      </c>
      <c r="R67" s="273" t="s">
        <v>68</v>
      </c>
    </row>
    <row r="68" spans="1:18" x14ac:dyDescent="0.2">
      <c r="A68" s="247"/>
      <c r="H68" s="34" t="s">
        <v>65</v>
      </c>
      <c r="I68" s="35">
        <f>SUM(I39:I57)-I56</f>
        <v>1770191</v>
      </c>
      <c r="L68" s="34" t="s">
        <v>66</v>
      </c>
      <c r="M68" s="35">
        <f>SUM(M39:M57)-M56</f>
        <v>1770190.8969999996</v>
      </c>
      <c r="P68" s="331">
        <f>SUM(P39:P57)-P56</f>
        <v>1774399.997</v>
      </c>
      <c r="Q68" s="275">
        <f>+Q66-Q65</f>
        <v>242.70603000000119</v>
      </c>
      <c r="R68" s="275">
        <f>+R66-R65</f>
        <v>727.11809000000358</v>
      </c>
    </row>
    <row r="69" spans="1:18" x14ac:dyDescent="0.2">
      <c r="A69" s="247"/>
      <c r="M69" s="1">
        <f>M68-I68</f>
        <v>-0.10300000035203993</v>
      </c>
      <c r="P69" s="1"/>
      <c r="Q69" s="299" t="str">
        <f>IF(Q68&lt;-1,"ERR","OK")</f>
        <v>OK</v>
      </c>
      <c r="R69" s="274" t="str">
        <f>IF(R68&lt;-1,"ERR","OK")</f>
        <v>OK</v>
      </c>
    </row>
    <row r="70" spans="1:18" x14ac:dyDescent="0.2">
      <c r="A70" s="247"/>
      <c r="M70" s="276" t="str">
        <f>IF(M68&gt;I68,"ERR","OK")</f>
        <v>OK</v>
      </c>
      <c r="P70" s="36"/>
    </row>
    <row r="71" spans="1:18" x14ac:dyDescent="0.2">
      <c r="A71" s="247"/>
      <c r="P71" s="1"/>
    </row>
    <row r="72" spans="1:18" x14ac:dyDescent="0.2">
      <c r="A72" s="247" t="s">
        <v>70</v>
      </c>
      <c r="G72" s="1">
        <v>3057725</v>
      </c>
      <c r="H72" s="1">
        <f>+G73</f>
        <v>3483907.4300000006</v>
      </c>
      <c r="I72" s="1">
        <f>+H73</f>
        <v>3789838.1500000004</v>
      </c>
      <c r="J72" s="1">
        <f>+H73</f>
        <v>3789838.1500000004</v>
      </c>
      <c r="K72" s="1">
        <v>0</v>
      </c>
      <c r="L72" s="1">
        <f>+H73</f>
        <v>3789838.1500000004</v>
      </c>
      <c r="M72" s="1">
        <f>+L73</f>
        <v>3103227.1500000004</v>
      </c>
      <c r="N72" s="1">
        <f>+L73</f>
        <v>3103227.1500000004</v>
      </c>
      <c r="O72" s="1">
        <f>+L73</f>
        <v>3103227.1500000004</v>
      </c>
      <c r="P72" s="1">
        <f>+O73</f>
        <v>3326169.0100000002</v>
      </c>
    </row>
    <row r="73" spans="1:18" ht="13.5" thickBot="1" x14ac:dyDescent="0.25">
      <c r="A73" s="247" t="s">
        <v>71</v>
      </c>
      <c r="G73" s="25">
        <f>+G66+G72</f>
        <v>3483907.4300000006</v>
      </c>
      <c r="H73" s="25">
        <f>+H66+H72</f>
        <v>3789838.1500000004</v>
      </c>
      <c r="I73" s="25">
        <f>+I66+I72</f>
        <v>2962696.1500000004</v>
      </c>
      <c r="J73" s="25">
        <f>+J66+J72</f>
        <v>2819548.1500000004</v>
      </c>
      <c r="K73" s="25">
        <v>0</v>
      </c>
      <c r="L73" s="25">
        <f>+L66+L72</f>
        <v>3103227.1500000004</v>
      </c>
      <c r="M73" s="25">
        <f>+M66+M72</f>
        <v>2743027.7530000005</v>
      </c>
      <c r="N73" s="25">
        <f>+N66+N72</f>
        <v>3464760.1500000004</v>
      </c>
      <c r="O73" s="25">
        <f>+O66+O72</f>
        <v>3326169.0100000002</v>
      </c>
      <c r="P73" s="25">
        <f>+P66+P72</f>
        <v>2937520.5130000007</v>
      </c>
    </row>
    <row r="74" spans="1:18" ht="13.5" thickTop="1" x14ac:dyDescent="0.2"/>
  </sheetData>
  <dataConsolidate/>
  <mergeCells count="2">
    <mergeCell ref="E2:R2"/>
    <mergeCell ref="E3:R3"/>
  </mergeCells>
  <phoneticPr fontId="12" type="noConversion"/>
  <conditionalFormatting sqref="M69 P69">
    <cfRule type="cellIs" dxfId="5" priority="5" stopIfTrue="1" operator="greaterThan">
      <formula>1</formula>
    </cfRule>
    <cfRule type="cellIs" dxfId="4" priority="6" stopIfTrue="1" operator="lessThan">
      <formula>1</formula>
    </cfRule>
  </conditionalFormatting>
  <conditionalFormatting sqref="M70 Q69:R69 P70">
    <cfRule type="cellIs" dxfId="3" priority="7" stopIfTrue="1" operator="equal">
      <formula>"ERR"</formula>
    </cfRule>
    <cfRule type="cellIs" dxfId="2" priority="8" stopIfTrue="1" operator="equal">
      <formula>"OK"</formula>
    </cfRule>
  </conditionalFormatting>
  <conditionalFormatting sqref="Q68:R68">
    <cfRule type="cellIs" dxfId="1" priority="9" stopIfTrue="1" operator="greaterThan">
      <formula>-1</formula>
    </cfRule>
    <cfRule type="cellIs" dxfId="0" priority="10" stopIfTrue="1" operator="lessThan">
      <formula>-1</formula>
    </cfRule>
  </conditionalFormatting>
  <pageMargins left="1.75" right="0.24" top="0.17" bottom="0.24" header="0.17" footer="0.17"/>
  <pageSetup paperSize="17" scale="80" fitToHeight="999"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4"/>
  <sheetViews>
    <sheetView zoomScale="85" zoomScaleNormal="85" workbookViewId="0">
      <pane ySplit="15" topLeftCell="A200" activePane="bottomLeft" state="frozen"/>
      <selection pane="bottomLeft" activeCell="B325" sqref="B325"/>
    </sheetView>
  </sheetViews>
  <sheetFormatPr defaultRowHeight="12.75" x14ac:dyDescent="0.2"/>
  <cols>
    <col min="1" max="1" width="7.6640625" style="40" customWidth="1"/>
    <col min="2" max="2" width="26" style="40" customWidth="1"/>
    <col min="3" max="3" width="32.5" style="40" customWidth="1"/>
    <col min="4" max="4" width="8.6640625" style="40" bestFit="1" customWidth="1"/>
    <col min="5" max="5" width="8.83203125" style="40" bestFit="1" customWidth="1"/>
    <col min="6" max="6" width="9.83203125" style="40" bestFit="1" customWidth="1"/>
    <col min="7" max="7" width="8.33203125" style="40" customWidth="1"/>
    <col min="8" max="8" width="8.6640625" style="40" bestFit="1" customWidth="1"/>
    <col min="9" max="9" width="11.6640625" style="40" customWidth="1"/>
    <col min="10" max="10" width="12.33203125" style="40" bestFit="1" customWidth="1"/>
    <col min="11" max="11" width="7.1640625" style="89" bestFit="1" customWidth="1"/>
    <col min="12" max="12" width="10.5" style="40" bestFit="1" customWidth="1"/>
    <col min="13" max="13" width="9.33203125" style="40" bestFit="1" customWidth="1"/>
    <col min="14" max="14" width="11.33203125" style="40" bestFit="1" customWidth="1"/>
    <col min="15" max="15" width="9.33203125" style="40"/>
    <col min="16" max="16" width="9.33203125" style="40" bestFit="1" customWidth="1"/>
    <col min="17" max="17" width="4.1640625" style="40" bestFit="1" customWidth="1"/>
    <col min="18" max="18" width="10.1640625" style="40" customWidth="1"/>
    <col min="19" max="19" width="9.33203125" style="40" bestFit="1" customWidth="1"/>
    <col min="20" max="20" width="10.5" style="40" bestFit="1" customWidth="1"/>
    <col min="21" max="22" width="12.33203125" style="52" bestFit="1" customWidth="1"/>
    <col min="23" max="23" width="10.5" style="40" bestFit="1" customWidth="1"/>
    <col min="24" max="24" width="10.5" style="40" customWidth="1"/>
    <col min="25" max="16384" width="9.33203125" style="40"/>
  </cols>
  <sheetData>
    <row r="1" spans="1:24" x14ac:dyDescent="0.2">
      <c r="B1" s="41" t="s">
        <v>74</v>
      </c>
      <c r="C1" s="42"/>
      <c r="D1" s="43"/>
      <c r="E1" s="44"/>
      <c r="G1" s="45"/>
      <c r="H1" s="46" t="s">
        <v>75</v>
      </c>
      <c r="I1" s="47" t="s">
        <v>133</v>
      </c>
      <c r="K1" s="48"/>
      <c r="L1" s="49" t="s">
        <v>159</v>
      </c>
      <c r="M1" s="49"/>
      <c r="N1" s="50"/>
      <c r="O1" s="49" t="s">
        <v>160</v>
      </c>
      <c r="P1" s="51"/>
      <c r="X1" s="53"/>
    </row>
    <row r="2" spans="1:24" x14ac:dyDescent="0.2">
      <c r="B2" s="54" t="s">
        <v>76</v>
      </c>
      <c r="C2" s="54" t="s">
        <v>77</v>
      </c>
      <c r="D2" s="55" t="s">
        <v>78</v>
      </c>
      <c r="E2" s="56">
        <v>0.1988</v>
      </c>
      <c r="G2" s="57"/>
      <c r="H2" s="58" t="s">
        <v>79</v>
      </c>
      <c r="I2" s="59">
        <v>0</v>
      </c>
      <c r="K2" s="60"/>
      <c r="L2" s="61" t="s">
        <v>80</v>
      </c>
      <c r="M2" s="61" t="s">
        <v>81</v>
      </c>
      <c r="N2" s="62"/>
      <c r="O2" s="61" t="s">
        <v>80</v>
      </c>
      <c r="P2" s="63" t="s">
        <v>81</v>
      </c>
    </row>
    <row r="3" spans="1:24" x14ac:dyDescent="0.2">
      <c r="A3" s="64"/>
      <c r="B3" s="54" t="s">
        <v>76</v>
      </c>
      <c r="C3" s="54" t="s">
        <v>82</v>
      </c>
      <c r="D3" s="55" t="s">
        <v>83</v>
      </c>
      <c r="E3" s="56">
        <v>0.1183</v>
      </c>
      <c r="G3" s="57"/>
      <c r="H3" s="58" t="s">
        <v>84</v>
      </c>
      <c r="I3" s="59">
        <v>6.0000000000000001E-3</v>
      </c>
      <c r="K3" s="65">
        <v>1</v>
      </c>
      <c r="L3" s="66">
        <f t="shared" ref="L3:M6" si="0">O3*12</f>
        <v>4018.7999999999997</v>
      </c>
      <c r="M3" s="66">
        <f t="shared" si="0"/>
        <v>324</v>
      </c>
      <c r="N3" s="67" t="s">
        <v>85</v>
      </c>
      <c r="O3" s="68">
        <v>334.9</v>
      </c>
      <c r="P3" s="69">
        <v>27</v>
      </c>
    </row>
    <row r="4" spans="1:24" x14ac:dyDescent="0.2">
      <c r="A4" s="64"/>
      <c r="B4" s="54" t="s">
        <v>76</v>
      </c>
      <c r="C4" s="54" t="s">
        <v>86</v>
      </c>
      <c r="D4" s="55" t="s">
        <v>87</v>
      </c>
      <c r="E4" s="56">
        <v>6.0499999999999998E-2</v>
      </c>
      <c r="G4" s="57"/>
      <c r="H4" s="46" t="s">
        <v>88</v>
      </c>
      <c r="I4" s="59">
        <v>7.6499999999999999E-2</v>
      </c>
      <c r="K4" s="65">
        <v>2</v>
      </c>
      <c r="L4" s="66">
        <f t="shared" si="0"/>
        <v>9458.4000000000015</v>
      </c>
      <c r="M4" s="66">
        <f t="shared" si="0"/>
        <v>624.96</v>
      </c>
      <c r="N4" s="67" t="s">
        <v>89</v>
      </c>
      <c r="O4" s="70">
        <v>788.2</v>
      </c>
      <c r="P4" s="71">
        <v>52.08</v>
      </c>
    </row>
    <row r="5" spans="1:24" s="74" customFormat="1" x14ac:dyDescent="0.2">
      <c r="A5" s="72"/>
      <c r="B5" s="54" t="s">
        <v>76</v>
      </c>
      <c r="C5" s="73" t="s">
        <v>90</v>
      </c>
      <c r="D5" s="55" t="s">
        <v>91</v>
      </c>
      <c r="E5" s="56">
        <v>0.34939999999999999</v>
      </c>
      <c r="G5" s="57"/>
      <c r="H5" s="58" t="s">
        <v>92</v>
      </c>
      <c r="I5" s="59">
        <v>2.2499999999999999E-2</v>
      </c>
      <c r="K5" s="65">
        <v>3</v>
      </c>
      <c r="L5" s="66">
        <f t="shared" si="0"/>
        <v>11460</v>
      </c>
      <c r="M5" s="66">
        <f t="shared" si="0"/>
        <v>964.31999999999994</v>
      </c>
      <c r="N5" s="67" t="s">
        <v>93</v>
      </c>
      <c r="O5" s="70">
        <v>955</v>
      </c>
      <c r="P5" s="71">
        <v>80.36</v>
      </c>
    </row>
    <row r="6" spans="1:24" s="74" customFormat="1" x14ac:dyDescent="0.2">
      <c r="A6" s="72"/>
      <c r="B6" s="54" t="s">
        <v>76</v>
      </c>
      <c r="C6" s="54" t="s">
        <v>94</v>
      </c>
      <c r="D6" s="55" t="s">
        <v>95</v>
      </c>
      <c r="E6" s="56">
        <v>0.2281</v>
      </c>
      <c r="G6" s="57"/>
      <c r="H6" s="58" t="s">
        <v>96</v>
      </c>
      <c r="I6" s="59">
        <v>8.5000000000000006E-3</v>
      </c>
      <c r="K6" s="65">
        <v>4</v>
      </c>
      <c r="L6" s="66">
        <f t="shared" si="0"/>
        <v>4018.7999999999997</v>
      </c>
      <c r="M6" s="66">
        <f t="shared" si="0"/>
        <v>324</v>
      </c>
      <c r="N6" s="67" t="s">
        <v>97</v>
      </c>
      <c r="O6" s="68">
        <f>+O3</f>
        <v>334.9</v>
      </c>
      <c r="P6" s="69">
        <f>+P3</f>
        <v>27</v>
      </c>
    </row>
    <row r="7" spans="1:24" s="74" customFormat="1" x14ac:dyDescent="0.2">
      <c r="A7" s="72"/>
      <c r="B7" s="54" t="s">
        <v>76</v>
      </c>
      <c r="C7" s="54" t="s">
        <v>98</v>
      </c>
      <c r="D7" s="55" t="s">
        <v>99</v>
      </c>
      <c r="E7" s="56">
        <v>0.12130000000000001</v>
      </c>
      <c r="G7" s="75"/>
      <c r="H7" s="76"/>
      <c r="K7" s="77"/>
      <c r="L7" s="78">
        <v>0</v>
      </c>
      <c r="M7" s="78">
        <v>0</v>
      </c>
      <c r="N7" s="79"/>
      <c r="O7" s="79"/>
      <c r="P7" s="80"/>
    </row>
    <row r="8" spans="1:24" s="74" customFormat="1" x14ac:dyDescent="0.2">
      <c r="A8" s="72"/>
      <c r="B8" s="54" t="s">
        <v>76</v>
      </c>
      <c r="C8" s="73" t="s">
        <v>100</v>
      </c>
      <c r="D8" s="55" t="s">
        <v>101</v>
      </c>
      <c r="E8" s="56">
        <v>0</v>
      </c>
      <c r="G8" s="75"/>
      <c r="H8" s="76"/>
      <c r="P8" s="81"/>
      <c r="Q8" s="76"/>
      <c r="R8" s="76"/>
      <c r="S8" s="76"/>
      <c r="T8" s="81"/>
      <c r="U8" s="81"/>
      <c r="V8" s="81"/>
    </row>
    <row r="9" spans="1:24" s="74" customFormat="1" x14ac:dyDescent="0.2">
      <c r="A9" s="72"/>
      <c r="B9" s="82" t="s">
        <v>102</v>
      </c>
      <c r="C9" s="82" t="s">
        <v>103</v>
      </c>
      <c r="D9" s="83" t="s">
        <v>104</v>
      </c>
      <c r="E9" s="84">
        <v>0.18149999999999999</v>
      </c>
      <c r="F9" s="85"/>
      <c r="G9" s="75"/>
      <c r="H9" s="76"/>
      <c r="P9" s="81"/>
      <c r="Q9" s="76"/>
      <c r="R9" s="76"/>
      <c r="S9" s="76"/>
      <c r="T9" s="81"/>
      <c r="U9" s="81"/>
      <c r="V9" s="81"/>
    </row>
    <row r="10" spans="1:24" s="74" customFormat="1" x14ac:dyDescent="0.2">
      <c r="A10" s="72"/>
      <c r="B10" s="82" t="s">
        <v>102</v>
      </c>
      <c r="C10" s="86" t="s">
        <v>105</v>
      </c>
      <c r="D10" s="83" t="s">
        <v>106</v>
      </c>
      <c r="E10" s="84">
        <v>0.24229999999999999</v>
      </c>
      <c r="F10" s="85"/>
      <c r="G10" s="75" t="s">
        <v>645</v>
      </c>
      <c r="H10" s="76" t="s">
        <v>645</v>
      </c>
      <c r="P10" s="81"/>
      <c r="Q10" s="76"/>
      <c r="R10" s="76"/>
      <c r="S10" s="76"/>
      <c r="T10" s="81"/>
      <c r="U10" s="81"/>
      <c r="V10" s="81"/>
    </row>
    <row r="11" spans="1:24" s="74" customFormat="1" x14ac:dyDescent="0.2">
      <c r="A11" s="72"/>
      <c r="C11" s="75" t="s">
        <v>645</v>
      </c>
      <c r="D11" s="87"/>
      <c r="E11" s="76"/>
      <c r="F11" s="85"/>
      <c r="G11" s="75" t="s">
        <v>645</v>
      </c>
      <c r="H11" s="76" t="s">
        <v>645</v>
      </c>
      <c r="P11" s="81"/>
      <c r="Q11" s="76"/>
      <c r="R11" s="76"/>
      <c r="S11" s="76"/>
      <c r="T11" s="81"/>
      <c r="U11" s="81"/>
      <c r="V11" s="81"/>
    </row>
    <row r="12" spans="1:24" ht="15.75" x14ac:dyDescent="0.25">
      <c r="A12" s="88" t="str">
        <f>+Summary!D6</f>
        <v>LIBRARY</v>
      </c>
      <c r="G12" s="40" t="s">
        <v>645</v>
      </c>
      <c r="H12" s="40" t="s">
        <v>645</v>
      </c>
    </row>
    <row r="13" spans="1:24" ht="15.75" x14ac:dyDescent="0.25">
      <c r="A13" s="90" t="s">
        <v>158</v>
      </c>
      <c r="O13" s="91"/>
    </row>
    <row r="14" spans="1:24" s="89" customFormat="1" x14ac:dyDescent="0.2">
      <c r="A14" s="92" t="s">
        <v>107</v>
      </c>
      <c r="B14" s="92" t="s">
        <v>107</v>
      </c>
      <c r="C14" s="92"/>
      <c r="D14" s="92" t="s">
        <v>108</v>
      </c>
      <c r="E14" s="92" t="s">
        <v>109</v>
      </c>
      <c r="F14" s="92"/>
      <c r="G14" s="92" t="s">
        <v>110</v>
      </c>
      <c r="H14" s="92" t="s">
        <v>4</v>
      </c>
      <c r="I14" s="92" t="s">
        <v>111</v>
      </c>
      <c r="J14" s="93" t="s">
        <v>0</v>
      </c>
      <c r="K14" s="92"/>
      <c r="L14" s="94"/>
      <c r="M14" s="93"/>
      <c r="N14" s="94"/>
      <c r="O14" s="94" t="s">
        <v>112</v>
      </c>
      <c r="P14" s="94" t="s">
        <v>113</v>
      </c>
      <c r="Q14" s="92"/>
      <c r="R14" s="92" t="s">
        <v>80</v>
      </c>
      <c r="S14" s="92" t="s">
        <v>81</v>
      </c>
      <c r="T14" s="94" t="s">
        <v>0</v>
      </c>
      <c r="U14" s="94" t="s">
        <v>0</v>
      </c>
      <c r="V14" s="94" t="s">
        <v>114</v>
      </c>
    </row>
    <row r="15" spans="1:24" s="89" customFormat="1" x14ac:dyDescent="0.2">
      <c r="A15" s="95" t="s">
        <v>115</v>
      </c>
      <c r="B15" s="95" t="s">
        <v>116</v>
      </c>
      <c r="C15" s="95" t="s">
        <v>117</v>
      </c>
      <c r="D15" s="95" t="s">
        <v>118</v>
      </c>
      <c r="E15" s="95" t="s">
        <v>119</v>
      </c>
      <c r="F15" s="95" t="s">
        <v>120</v>
      </c>
      <c r="G15" s="95" t="s">
        <v>121</v>
      </c>
      <c r="H15" s="95" t="s">
        <v>121</v>
      </c>
      <c r="I15" s="95" t="s">
        <v>122</v>
      </c>
      <c r="J15" s="96" t="s">
        <v>122</v>
      </c>
      <c r="K15" s="97" t="s">
        <v>123</v>
      </c>
      <c r="L15" s="98"/>
      <c r="M15" s="96" t="s">
        <v>124</v>
      </c>
      <c r="N15" s="99" t="s">
        <v>88</v>
      </c>
      <c r="O15" s="99" t="s">
        <v>125</v>
      </c>
      <c r="P15" s="99" t="s">
        <v>126</v>
      </c>
      <c r="Q15" s="95"/>
      <c r="R15" s="95" t="s">
        <v>127</v>
      </c>
      <c r="S15" s="95" t="s">
        <v>127</v>
      </c>
      <c r="T15" s="99" t="s">
        <v>127</v>
      </c>
      <c r="U15" s="99" t="s">
        <v>128</v>
      </c>
      <c r="V15" s="99" t="s">
        <v>0</v>
      </c>
    </row>
    <row r="16" spans="1:24" s="74" customFormat="1" x14ac:dyDescent="0.2">
      <c r="A16" s="40" t="s">
        <v>275</v>
      </c>
      <c r="B16" s="100" t="s">
        <v>276</v>
      </c>
      <c r="C16" s="100" t="s">
        <v>277</v>
      </c>
      <c r="D16" s="101"/>
      <c r="E16" s="102" t="s">
        <v>279</v>
      </c>
      <c r="F16" s="103">
        <v>0</v>
      </c>
      <c r="G16" s="104">
        <v>9.85</v>
      </c>
      <c r="H16" s="104">
        <f>ROUND((G16*(1+$I$2)),2)</f>
        <v>9.85</v>
      </c>
      <c r="I16" s="105">
        <f t="shared" ref="I16:I183" si="1">ROUND((H16*F16),0)</f>
        <v>0</v>
      </c>
      <c r="J16" s="106"/>
      <c r="K16" s="107"/>
      <c r="L16" s="108"/>
      <c r="M16" s="109"/>
      <c r="N16" s="108"/>
      <c r="O16" s="108"/>
      <c r="P16" s="108"/>
      <c r="Q16" s="110"/>
      <c r="R16" s="111"/>
      <c r="S16" s="111"/>
      <c r="T16" s="112"/>
      <c r="U16" s="108"/>
      <c r="V16" s="108"/>
    </row>
    <row r="17" spans="1:24" s="74" customFormat="1" x14ac:dyDescent="0.2">
      <c r="A17" s="113"/>
      <c r="B17" s="113"/>
      <c r="C17" s="113"/>
      <c r="D17" s="114" t="s">
        <v>278</v>
      </c>
      <c r="E17" s="115" t="s">
        <v>279</v>
      </c>
      <c r="F17" s="116">
        <v>432</v>
      </c>
      <c r="G17" s="117">
        <v>10.16</v>
      </c>
      <c r="H17" s="117">
        <f>ROUND(IF($I$1="YES",(G17*(1+$I$2)),(G16*(1+$I$2))),2)</f>
        <v>9.85</v>
      </c>
      <c r="I17" s="118">
        <f t="shared" si="1"/>
        <v>4255</v>
      </c>
      <c r="J17" s="119">
        <f>SUM(I16:I17)</f>
        <v>4255</v>
      </c>
      <c r="K17" s="120" t="s">
        <v>101</v>
      </c>
      <c r="L17" s="118">
        <f>ROUND((VLOOKUP(K17,$D$2:$E$10,2,FALSE))*J17,0)</f>
        <v>0</v>
      </c>
      <c r="M17" s="119">
        <f>ROUND(IF(K17="N",0,(J17*$I$3)),0)</f>
        <v>0</v>
      </c>
      <c r="N17" s="118">
        <f>ROUND((J17*$I$4),0)</f>
        <v>326</v>
      </c>
      <c r="O17" s="118">
        <f>ROUND(J17*$I$5,0)</f>
        <v>96</v>
      </c>
      <c r="P17" s="118">
        <f>ROUND(J17*$I$6,0)</f>
        <v>36</v>
      </c>
      <c r="Q17" s="121">
        <v>0</v>
      </c>
      <c r="R17" s="122">
        <f>ROUND(IF($Q17=0,0,((VLOOKUP($Q17,$K$3:$M$6,2,FALSE))*(1+$L$7))),0)</f>
        <v>0</v>
      </c>
      <c r="S17" s="122">
        <f>ROUND(IF($Q17=0,0,((VLOOKUP($Q17,$K$3:$M$6,3,FALSE))*(1+$M$7))),0)</f>
        <v>0</v>
      </c>
      <c r="T17" s="118">
        <f>SUM(R17,S17)</f>
        <v>0</v>
      </c>
      <c r="U17" s="118">
        <f>SUM(L17:P17,T17)</f>
        <v>458</v>
      </c>
      <c r="V17" s="118">
        <f>SUM(U17,J17)</f>
        <v>4713</v>
      </c>
      <c r="W17" s="123"/>
      <c r="X17" s="123"/>
    </row>
    <row r="18" spans="1:24" x14ac:dyDescent="0.2">
      <c r="A18" s="40" t="s">
        <v>280</v>
      </c>
      <c r="B18" s="100" t="s">
        <v>276</v>
      </c>
      <c r="C18" s="100" t="s">
        <v>281</v>
      </c>
      <c r="D18" s="124"/>
      <c r="E18" s="125" t="s">
        <v>279</v>
      </c>
      <c r="F18" s="103">
        <v>0</v>
      </c>
      <c r="G18" s="104">
        <v>10.09</v>
      </c>
      <c r="H18" s="104">
        <f>ROUND((G18*(1+$I$2)),2)</f>
        <v>10.09</v>
      </c>
      <c r="I18" s="126">
        <f t="shared" si="1"/>
        <v>0</v>
      </c>
      <c r="J18" s="106"/>
      <c r="K18" s="127"/>
      <c r="L18" s="108"/>
      <c r="M18" s="109"/>
      <c r="N18" s="108"/>
      <c r="O18" s="108"/>
      <c r="P18" s="108"/>
      <c r="Q18" s="128"/>
      <c r="R18" s="111"/>
      <c r="S18" s="111"/>
      <c r="T18" s="112"/>
      <c r="U18" s="108"/>
      <c r="V18" s="108"/>
      <c r="W18" s="111"/>
      <c r="X18" s="52"/>
    </row>
    <row r="19" spans="1:24" x14ac:dyDescent="0.2">
      <c r="A19" s="113"/>
      <c r="B19" s="113"/>
      <c r="C19" s="113"/>
      <c r="D19" s="114" t="s">
        <v>278</v>
      </c>
      <c r="E19" s="115" t="s">
        <v>279</v>
      </c>
      <c r="F19" s="116">
        <v>250</v>
      </c>
      <c r="G19" s="117">
        <v>10.09</v>
      </c>
      <c r="H19" s="117">
        <f>ROUND(IF($I$1="YES",(G19*(1+$I$2)),(G18*(1+$I$2))),2)</f>
        <v>10.09</v>
      </c>
      <c r="I19" s="129">
        <f t="shared" si="1"/>
        <v>2523</v>
      </c>
      <c r="J19" s="119">
        <f>SUM(I18:I19)</f>
        <v>2523</v>
      </c>
      <c r="K19" s="120" t="s">
        <v>101</v>
      </c>
      <c r="L19" s="118">
        <f>ROUND((VLOOKUP(K19,$D$2:$E$10,2,FALSE))*J19,0)</f>
        <v>0</v>
      </c>
      <c r="M19" s="119">
        <f>ROUND(IF(K19="N",0,(J19*$I$3)),0)</f>
        <v>0</v>
      </c>
      <c r="N19" s="118">
        <f>ROUND((J19*$I$4),0)</f>
        <v>193</v>
      </c>
      <c r="O19" s="118">
        <f>ROUND(J19*$I$5,0)</f>
        <v>57</v>
      </c>
      <c r="P19" s="118">
        <f>ROUND(J19*$I$6,0)</f>
        <v>21</v>
      </c>
      <c r="Q19" s="121">
        <v>0</v>
      </c>
      <c r="R19" s="122">
        <f>ROUND(IF($Q19=0,0,((VLOOKUP($Q19,$K$3:$M$6,2,FALSE))*(1+$L$7))),0)</f>
        <v>0</v>
      </c>
      <c r="S19" s="122">
        <f>ROUND(IF($Q19=0,0,((VLOOKUP($Q19,$K$3:$M$6,3,FALSE))*(1+$M$7))),0)</f>
        <v>0</v>
      </c>
      <c r="T19" s="118">
        <f>SUM(R19,S19)</f>
        <v>0</v>
      </c>
      <c r="U19" s="118">
        <f>SUM(L19:P19,T19)</f>
        <v>271</v>
      </c>
      <c r="V19" s="118">
        <f>SUM(U19,J19)</f>
        <v>2794</v>
      </c>
      <c r="W19" s="111"/>
      <c r="X19" s="123"/>
    </row>
    <row r="20" spans="1:24" x14ac:dyDescent="0.2">
      <c r="A20" s="40" t="s">
        <v>282</v>
      </c>
      <c r="B20" s="100" t="s">
        <v>276</v>
      </c>
      <c r="C20" s="100" t="s">
        <v>283</v>
      </c>
      <c r="D20" s="124"/>
      <c r="E20" s="102" t="s">
        <v>279</v>
      </c>
      <c r="F20" s="103">
        <v>0</v>
      </c>
      <c r="G20" s="104">
        <v>13.6</v>
      </c>
      <c r="H20" s="104">
        <f>ROUND((G20*(1+$I$2)),2)</f>
        <v>13.6</v>
      </c>
      <c r="I20" s="126">
        <f t="shared" si="1"/>
        <v>0</v>
      </c>
      <c r="J20" s="106"/>
      <c r="K20" s="127"/>
      <c r="L20" s="108"/>
      <c r="M20" s="109"/>
      <c r="N20" s="108"/>
      <c r="O20" s="108"/>
      <c r="P20" s="108"/>
      <c r="Q20" s="128"/>
      <c r="R20" s="111"/>
      <c r="S20" s="111"/>
      <c r="T20" s="112"/>
      <c r="U20" s="108"/>
      <c r="V20" s="108"/>
      <c r="W20" s="111"/>
      <c r="X20" s="52"/>
    </row>
    <row r="21" spans="1:24" x14ac:dyDescent="0.2">
      <c r="A21" s="113"/>
      <c r="B21" s="113"/>
      <c r="C21" s="113"/>
      <c r="D21" s="114" t="s">
        <v>278</v>
      </c>
      <c r="E21" s="115" t="s">
        <v>279</v>
      </c>
      <c r="F21" s="116">
        <v>250</v>
      </c>
      <c r="G21" s="117">
        <v>13.77</v>
      </c>
      <c r="H21" s="117">
        <f>ROUND(IF($I$1="YES",(G21*(1+$I$2)),(G20*(1+$I$2))),2)</f>
        <v>13.6</v>
      </c>
      <c r="I21" s="129">
        <f t="shared" si="1"/>
        <v>3400</v>
      </c>
      <c r="J21" s="119">
        <f>SUM(I20:I21)</f>
        <v>3400</v>
      </c>
      <c r="K21" s="120" t="s">
        <v>101</v>
      </c>
      <c r="L21" s="118">
        <f>ROUND((VLOOKUP(K21,$D$2:$E$10,2,FALSE))*J21,0)</f>
        <v>0</v>
      </c>
      <c r="M21" s="119">
        <f>ROUND(IF(K21="N",0,(J21*$I$3)),0)</f>
        <v>0</v>
      </c>
      <c r="N21" s="118">
        <f>ROUND((J21*$I$4),0)</f>
        <v>260</v>
      </c>
      <c r="O21" s="118">
        <f>ROUND(J21*$I$5,0)</f>
        <v>77</v>
      </c>
      <c r="P21" s="118">
        <f>ROUND(J21*$I$6,0)</f>
        <v>29</v>
      </c>
      <c r="Q21" s="121">
        <v>0</v>
      </c>
      <c r="R21" s="122">
        <f>ROUND(IF($Q21=0,0,((VLOOKUP($Q21,$K$3:$M$6,2,FALSE))*(1+$L$7))),0)</f>
        <v>0</v>
      </c>
      <c r="S21" s="122">
        <f>ROUND(IF($Q21=0,0,((VLOOKUP($Q21,$K$3:$M$6,3,FALSE))*(1+$M$7))),0)</f>
        <v>0</v>
      </c>
      <c r="T21" s="118">
        <f>SUM(R21,S21)</f>
        <v>0</v>
      </c>
      <c r="U21" s="118">
        <f>SUM(L21:P21,T21)</f>
        <v>366</v>
      </c>
      <c r="V21" s="118">
        <f>SUM(U21,J21)</f>
        <v>3766</v>
      </c>
      <c r="W21" s="111"/>
      <c r="X21" s="123"/>
    </row>
    <row r="22" spans="1:24" x14ac:dyDescent="0.2">
      <c r="A22" s="40" t="s">
        <v>648</v>
      </c>
      <c r="B22" s="100" t="s">
        <v>276</v>
      </c>
      <c r="C22" s="100" t="s">
        <v>649</v>
      </c>
      <c r="D22" s="124"/>
      <c r="E22" s="102" t="s">
        <v>279</v>
      </c>
      <c r="F22" s="103">
        <v>0</v>
      </c>
      <c r="G22" s="104">
        <v>19.98</v>
      </c>
      <c r="H22" s="104">
        <f>ROUND((G22*(1+$I$2)),2)</f>
        <v>19.98</v>
      </c>
      <c r="I22" s="126">
        <f t="shared" ref="I22:I23" si="2">ROUND((H22*F22),0)</f>
        <v>0</v>
      </c>
      <c r="J22" s="106"/>
      <c r="K22" s="127"/>
      <c r="L22" s="108"/>
      <c r="M22" s="109"/>
      <c r="N22" s="108"/>
      <c r="O22" s="108"/>
      <c r="P22" s="108"/>
      <c r="Q22" s="128"/>
      <c r="R22" s="111"/>
      <c r="S22" s="111"/>
      <c r="T22" s="112"/>
      <c r="U22" s="108"/>
      <c r="V22" s="108"/>
      <c r="W22" s="111"/>
      <c r="X22" s="52"/>
    </row>
    <row r="23" spans="1:24" x14ac:dyDescent="0.2">
      <c r="A23" s="113"/>
      <c r="B23" s="113"/>
      <c r="C23" s="113"/>
      <c r="D23" s="114" t="s">
        <v>278</v>
      </c>
      <c r="E23" s="115" t="s">
        <v>279</v>
      </c>
      <c r="F23" s="116">
        <v>1000</v>
      </c>
      <c r="G23" s="117">
        <v>20.61</v>
      </c>
      <c r="H23" s="117">
        <f>ROUND(IF($I$1="YES",(G23*(1+$I$2)),(G22*(1+$I$2))),2)</f>
        <v>19.98</v>
      </c>
      <c r="I23" s="129">
        <f t="shared" si="2"/>
        <v>19980</v>
      </c>
      <c r="J23" s="119">
        <f>SUM(I22:I23)</f>
        <v>19980</v>
      </c>
      <c r="K23" s="120" t="s">
        <v>101</v>
      </c>
      <c r="L23" s="118">
        <f>ROUND((VLOOKUP(K23,$D$2:$E$10,2,FALSE))*J23,0)</f>
        <v>0</v>
      </c>
      <c r="M23" s="119">
        <f>ROUND(IF(K23="N",0,(J23*$I$3)),0)</f>
        <v>0</v>
      </c>
      <c r="N23" s="118">
        <f>ROUND((J23*$I$4),0)</f>
        <v>1528</v>
      </c>
      <c r="O23" s="118">
        <f>ROUND(J23*$I$5,0)</f>
        <v>450</v>
      </c>
      <c r="P23" s="118">
        <f>ROUND(J23*$I$6,0)</f>
        <v>170</v>
      </c>
      <c r="Q23" s="121">
        <v>0</v>
      </c>
      <c r="R23" s="122">
        <f>ROUND(IF($Q23=0,0,((VLOOKUP($Q23,$K$3:$M$6,2,FALSE))*(1+$L$7))),0)</f>
        <v>0</v>
      </c>
      <c r="S23" s="122">
        <f>ROUND(IF($Q23=0,0,((VLOOKUP($Q23,$K$3:$M$6,3,FALSE))*(1+$M$7))),0)</f>
        <v>0</v>
      </c>
      <c r="T23" s="118">
        <f>SUM(R23,S23)</f>
        <v>0</v>
      </c>
      <c r="U23" s="118">
        <f>SUM(L23:P23,T23)</f>
        <v>2148</v>
      </c>
      <c r="V23" s="118">
        <f>SUM(U23,J23)</f>
        <v>22128</v>
      </c>
      <c r="W23" s="111"/>
      <c r="X23" s="123"/>
    </row>
    <row r="24" spans="1:24" x14ac:dyDescent="0.2">
      <c r="A24" s="100" t="s">
        <v>284</v>
      </c>
      <c r="B24" s="100" t="s">
        <v>276</v>
      </c>
      <c r="C24" s="100" t="s">
        <v>285</v>
      </c>
      <c r="D24" s="124"/>
      <c r="E24" s="102" t="s">
        <v>279</v>
      </c>
      <c r="F24" s="103">
        <v>0</v>
      </c>
      <c r="G24" s="104">
        <v>11.85</v>
      </c>
      <c r="H24" s="104">
        <f>ROUND((G24*(1+$I$2)),2)</f>
        <v>11.85</v>
      </c>
      <c r="I24" s="126">
        <f t="shared" si="1"/>
        <v>0</v>
      </c>
      <c r="J24" s="106"/>
      <c r="K24" s="127"/>
      <c r="L24" s="108"/>
      <c r="M24" s="109"/>
      <c r="N24" s="108"/>
      <c r="O24" s="108"/>
      <c r="P24" s="108"/>
      <c r="Q24" s="128"/>
      <c r="R24" s="111"/>
      <c r="S24" s="111"/>
      <c r="T24" s="112"/>
      <c r="U24" s="108"/>
      <c r="V24" s="108"/>
      <c r="W24" s="111"/>
      <c r="X24" s="52"/>
    </row>
    <row r="25" spans="1:24" x14ac:dyDescent="0.2">
      <c r="A25" s="113"/>
      <c r="B25" s="113"/>
      <c r="C25" s="113"/>
      <c r="D25" s="114" t="s">
        <v>278</v>
      </c>
      <c r="E25" s="115" t="s">
        <v>279</v>
      </c>
      <c r="F25" s="116">
        <v>500</v>
      </c>
      <c r="G25" s="117">
        <v>12.11</v>
      </c>
      <c r="H25" s="117">
        <f>ROUND(IF($I$1="YES",(G25*(1+$I$2)),(G24*(1+$I$2))),2)</f>
        <v>11.85</v>
      </c>
      <c r="I25" s="129">
        <f t="shared" si="1"/>
        <v>5925</v>
      </c>
      <c r="J25" s="119">
        <f>SUM(I24:I25)</f>
        <v>5925</v>
      </c>
      <c r="K25" s="120" t="s">
        <v>101</v>
      </c>
      <c r="L25" s="118">
        <f>ROUND((VLOOKUP(K25,$D$2:$E$10,2,FALSE))*J25,0)</f>
        <v>0</v>
      </c>
      <c r="M25" s="119">
        <f>ROUND(IF(K25="N",0,(J25*$I$3)),0)</f>
        <v>0</v>
      </c>
      <c r="N25" s="118">
        <f>ROUND((J25*$I$4),0)</f>
        <v>453</v>
      </c>
      <c r="O25" s="118">
        <f>ROUND(J25*$I$5,0)</f>
        <v>133</v>
      </c>
      <c r="P25" s="118">
        <f>ROUND(J25*$I$6,0)</f>
        <v>50</v>
      </c>
      <c r="Q25" s="121">
        <v>0</v>
      </c>
      <c r="R25" s="122">
        <f>ROUND(IF($Q25=0,0,((VLOOKUP($Q25,$K$3:$M$6,2,FALSE))*(1+$L$7))),0)</f>
        <v>0</v>
      </c>
      <c r="S25" s="122">
        <f>ROUND(IF($Q25=0,0,((VLOOKUP($Q25,$K$3:$M$6,3,FALSE))*(1+$M$7))),0)</f>
        <v>0</v>
      </c>
      <c r="T25" s="118">
        <f>SUM(R25,S25)</f>
        <v>0</v>
      </c>
      <c r="U25" s="118">
        <f>SUM(L25:P25,T25)</f>
        <v>636</v>
      </c>
      <c r="V25" s="118">
        <f>SUM(U25,J25)</f>
        <v>6561</v>
      </c>
      <c r="W25" s="111"/>
      <c r="X25" s="123"/>
    </row>
    <row r="26" spans="1:24" x14ac:dyDescent="0.2">
      <c r="A26" s="100" t="s">
        <v>286</v>
      </c>
      <c r="B26" s="100" t="s">
        <v>276</v>
      </c>
      <c r="C26" s="100" t="s">
        <v>287</v>
      </c>
      <c r="D26" s="101"/>
      <c r="E26" s="102" t="s">
        <v>279</v>
      </c>
      <c r="F26" s="103">
        <v>0</v>
      </c>
      <c r="G26" s="104">
        <v>13.03</v>
      </c>
      <c r="H26" s="104">
        <f>ROUND((G26*(1+$I$2)),2)</f>
        <v>13.03</v>
      </c>
      <c r="I26" s="126">
        <f>ROUND((H26*F26),0)</f>
        <v>0</v>
      </c>
      <c r="J26" s="106"/>
      <c r="K26" s="127"/>
      <c r="L26" s="108"/>
      <c r="M26" s="109"/>
      <c r="N26" s="108"/>
      <c r="O26" s="108"/>
      <c r="P26" s="108"/>
      <c r="Q26" s="128"/>
      <c r="R26" s="111"/>
      <c r="S26" s="111"/>
      <c r="T26" s="112"/>
      <c r="U26" s="108"/>
      <c r="V26" s="108"/>
      <c r="W26" s="111"/>
      <c r="X26" s="52"/>
    </row>
    <row r="27" spans="1:24" x14ac:dyDescent="0.2">
      <c r="A27" s="113"/>
      <c r="B27" s="113"/>
      <c r="C27" s="113"/>
      <c r="D27" s="114" t="s">
        <v>278</v>
      </c>
      <c r="E27" s="115" t="s">
        <v>279</v>
      </c>
      <c r="F27" s="116">
        <v>750</v>
      </c>
      <c r="G27" s="117">
        <v>13.29</v>
      </c>
      <c r="H27" s="117">
        <f>ROUND(IF($I$1="YES",(G27*(1+$I$2)),(G26*(1+$I$2))),2)</f>
        <v>13.03</v>
      </c>
      <c r="I27" s="118">
        <f>ROUND((H27*F27),0)</f>
        <v>9773</v>
      </c>
      <c r="J27" s="119">
        <f>SUM(I26:I27)</f>
        <v>9773</v>
      </c>
      <c r="K27" s="120" t="s">
        <v>101</v>
      </c>
      <c r="L27" s="118">
        <f>ROUND((VLOOKUP(K27,$D$2:$E$10,2,FALSE))*J27,0)</f>
        <v>0</v>
      </c>
      <c r="M27" s="119">
        <f>ROUND(IF(K27="N",0,(J27*$I$3)),0)</f>
        <v>0</v>
      </c>
      <c r="N27" s="118">
        <f>ROUND((J27*$I$4),0)</f>
        <v>748</v>
      </c>
      <c r="O27" s="118">
        <f>ROUND(J27*$I$5,0)</f>
        <v>220</v>
      </c>
      <c r="P27" s="118">
        <f>ROUND(J27*$I$6,0)</f>
        <v>83</v>
      </c>
      <c r="Q27" s="121">
        <v>0</v>
      </c>
      <c r="R27" s="122">
        <f>ROUND(IF($Q27=0,0,((VLOOKUP($Q27,$K$3:$M$6,2,FALSE))*(1+$L$7))),0)</f>
        <v>0</v>
      </c>
      <c r="S27" s="122">
        <f>ROUND(IF($Q27=0,0,((VLOOKUP($Q27,$K$3:$M$6,3,FALSE))*(1+$M$7))),0)</f>
        <v>0</v>
      </c>
      <c r="T27" s="118">
        <f>SUM(R27,S27)</f>
        <v>0</v>
      </c>
      <c r="U27" s="118">
        <f>SUM(L27:P27,T27)</f>
        <v>1051</v>
      </c>
      <c r="V27" s="118">
        <f>SUM(U27,J27)</f>
        <v>10824</v>
      </c>
      <c r="W27" s="111"/>
      <c r="X27" s="123"/>
    </row>
    <row r="28" spans="1:24" x14ac:dyDescent="0.2">
      <c r="A28" s="40" t="s">
        <v>288</v>
      </c>
      <c r="B28" s="100" t="s">
        <v>276</v>
      </c>
      <c r="C28" s="100" t="s">
        <v>289</v>
      </c>
      <c r="D28" s="124"/>
      <c r="E28" s="125" t="s">
        <v>279</v>
      </c>
      <c r="F28" s="103">
        <v>0</v>
      </c>
      <c r="G28" s="104">
        <v>11.37</v>
      </c>
      <c r="H28" s="104">
        <f>ROUND((G28*(1+$I$2)),2)</f>
        <v>11.37</v>
      </c>
      <c r="I28" s="126">
        <f t="shared" ref="I28:I33" si="3">ROUND((H28*F28),0)</f>
        <v>0</v>
      </c>
      <c r="J28" s="106"/>
      <c r="K28" s="127"/>
      <c r="L28" s="108"/>
      <c r="M28" s="109"/>
      <c r="N28" s="108"/>
      <c r="O28" s="108"/>
      <c r="P28" s="108"/>
      <c r="Q28" s="128"/>
      <c r="R28" s="111"/>
      <c r="S28" s="111"/>
      <c r="T28" s="112"/>
      <c r="U28" s="108"/>
      <c r="V28" s="108"/>
      <c r="W28" s="111"/>
      <c r="X28" s="52"/>
    </row>
    <row r="29" spans="1:24" x14ac:dyDescent="0.2">
      <c r="A29" s="113"/>
      <c r="B29" s="113"/>
      <c r="C29" s="113"/>
      <c r="D29" s="114" t="s">
        <v>278</v>
      </c>
      <c r="E29" s="115" t="s">
        <v>279</v>
      </c>
      <c r="F29" s="116">
        <v>250</v>
      </c>
      <c r="G29" s="117">
        <v>11.62</v>
      </c>
      <c r="H29" s="117">
        <f>ROUND(IF($I$1="YES",(G29*(1+$I$2)),(G28*(1+$I$2))),2)</f>
        <v>11.37</v>
      </c>
      <c r="I29" s="129">
        <f t="shared" si="3"/>
        <v>2843</v>
      </c>
      <c r="J29" s="119">
        <f>SUM(I28:I29)</f>
        <v>2843</v>
      </c>
      <c r="K29" s="120" t="s">
        <v>101</v>
      </c>
      <c r="L29" s="118">
        <f>ROUND((VLOOKUP(K29,$D$2:$E$10,2,FALSE))*J29,0)</f>
        <v>0</v>
      </c>
      <c r="M29" s="119">
        <f>ROUND(IF(K29="N",0,(J29*$I$3)),0)</f>
        <v>0</v>
      </c>
      <c r="N29" s="118">
        <f>ROUND((J29*$I$4),0)</f>
        <v>217</v>
      </c>
      <c r="O29" s="118">
        <f>ROUND(J29*$I$5,0)</f>
        <v>64</v>
      </c>
      <c r="P29" s="118">
        <f>ROUND(J29*$I$6,0)</f>
        <v>24</v>
      </c>
      <c r="Q29" s="121">
        <v>0</v>
      </c>
      <c r="R29" s="122">
        <f>ROUND(IF($Q29=0,0,((VLOOKUP($Q29,$K$3:$M$6,2,FALSE))*(1+$L$7))),0)</f>
        <v>0</v>
      </c>
      <c r="S29" s="122">
        <f>ROUND(IF($Q29=0,0,((VLOOKUP($Q29,$K$3:$M$6,3,FALSE))*(1+$M$7))),0)</f>
        <v>0</v>
      </c>
      <c r="T29" s="118">
        <f>SUM(R29,S29)</f>
        <v>0</v>
      </c>
      <c r="U29" s="118">
        <f>SUM(L29:P29,T29)</f>
        <v>305</v>
      </c>
      <c r="V29" s="118">
        <f>SUM(U29,J29)</f>
        <v>3148</v>
      </c>
      <c r="W29" s="111"/>
      <c r="X29" s="123"/>
    </row>
    <row r="30" spans="1:24" x14ac:dyDescent="0.2">
      <c r="A30" s="40" t="s">
        <v>290</v>
      </c>
      <c r="B30" s="100" t="s">
        <v>276</v>
      </c>
      <c r="C30" s="100" t="s">
        <v>291</v>
      </c>
      <c r="D30" s="124"/>
      <c r="E30" s="102" t="s">
        <v>279</v>
      </c>
      <c r="F30" s="103">
        <v>0</v>
      </c>
      <c r="G30" s="104">
        <v>13.38</v>
      </c>
      <c r="H30" s="104">
        <f>ROUND((G30*(1+$I$2)),2)</f>
        <v>13.38</v>
      </c>
      <c r="I30" s="126">
        <f t="shared" si="3"/>
        <v>0</v>
      </c>
      <c r="J30" s="106"/>
      <c r="K30" s="127"/>
      <c r="L30" s="108"/>
      <c r="M30" s="109"/>
      <c r="N30" s="108"/>
      <c r="O30" s="108"/>
      <c r="P30" s="108"/>
      <c r="Q30" s="128"/>
      <c r="R30" s="111"/>
      <c r="S30" s="111"/>
      <c r="T30" s="112"/>
      <c r="U30" s="108"/>
      <c r="V30" s="108"/>
      <c r="W30" s="111"/>
      <c r="X30" s="52"/>
    </row>
    <row r="31" spans="1:24" x14ac:dyDescent="0.2">
      <c r="A31" s="113"/>
      <c r="B31" s="113"/>
      <c r="C31" s="113"/>
      <c r="D31" s="114" t="s">
        <v>278</v>
      </c>
      <c r="E31" s="115" t="s">
        <v>279</v>
      </c>
      <c r="F31" s="116">
        <v>500</v>
      </c>
      <c r="G31" s="117">
        <v>13.6</v>
      </c>
      <c r="H31" s="117">
        <f>ROUND(IF($I$1="YES",(G31*(1+$I$2)),(G30*(1+$I$2))),2)</f>
        <v>13.38</v>
      </c>
      <c r="I31" s="129">
        <f t="shared" si="3"/>
        <v>6690</v>
      </c>
      <c r="J31" s="119">
        <f>SUM(I30:I31)</f>
        <v>6690</v>
      </c>
      <c r="K31" s="120" t="s">
        <v>101</v>
      </c>
      <c r="L31" s="118">
        <f>ROUND((VLOOKUP(K31,$D$2:$E$10,2,FALSE))*J31,0)</f>
        <v>0</v>
      </c>
      <c r="M31" s="119">
        <f>ROUND(IF(K31="N",0,(J31*$I$3)),0)</f>
        <v>0</v>
      </c>
      <c r="N31" s="118">
        <f>ROUND((J31*$I$4),0)</f>
        <v>512</v>
      </c>
      <c r="O31" s="118">
        <f>ROUND(J31*$I$5,0)</f>
        <v>151</v>
      </c>
      <c r="P31" s="118">
        <f>ROUND(J31*$I$6,0)</f>
        <v>57</v>
      </c>
      <c r="Q31" s="121">
        <v>0</v>
      </c>
      <c r="R31" s="122">
        <f>ROUND(IF($Q31=0,0,((VLOOKUP($Q31,$K$3:$M$6,2,FALSE))*(1+$L$7))),0)</f>
        <v>0</v>
      </c>
      <c r="S31" s="122">
        <f>ROUND(IF($Q31=0,0,((VLOOKUP($Q31,$K$3:$M$6,3,FALSE))*(1+$M$7))),0)</f>
        <v>0</v>
      </c>
      <c r="T31" s="118">
        <f>SUM(R31,S31)</f>
        <v>0</v>
      </c>
      <c r="U31" s="118">
        <f>SUM(L31:P31,T31)</f>
        <v>720</v>
      </c>
      <c r="V31" s="118">
        <f>SUM(U31,J31)</f>
        <v>7410</v>
      </c>
      <c r="W31" s="111"/>
      <c r="X31" s="123"/>
    </row>
    <row r="32" spans="1:24" x14ac:dyDescent="0.2">
      <c r="A32" s="100" t="s">
        <v>292</v>
      </c>
      <c r="B32" s="100" t="s">
        <v>276</v>
      </c>
      <c r="C32" s="100" t="s">
        <v>293</v>
      </c>
      <c r="D32" s="124"/>
      <c r="E32" s="102" t="s">
        <v>279</v>
      </c>
      <c r="F32" s="103">
        <v>0</v>
      </c>
      <c r="G32" s="104">
        <v>10.24</v>
      </c>
      <c r="H32" s="104">
        <f>ROUND((G32*(1+$I$2)),2)</f>
        <v>10.24</v>
      </c>
      <c r="I32" s="126">
        <f t="shared" si="3"/>
        <v>0</v>
      </c>
      <c r="J32" s="106"/>
      <c r="K32" s="127"/>
      <c r="L32" s="108"/>
      <c r="M32" s="109"/>
      <c r="N32" s="108"/>
      <c r="O32" s="108"/>
      <c r="P32" s="108"/>
      <c r="Q32" s="128"/>
      <c r="R32" s="111"/>
      <c r="S32" s="111"/>
      <c r="T32" s="112"/>
      <c r="U32" s="108"/>
      <c r="V32" s="108"/>
      <c r="W32" s="111"/>
      <c r="X32" s="52"/>
    </row>
    <row r="33" spans="1:24" x14ac:dyDescent="0.2">
      <c r="A33" s="113"/>
      <c r="B33" s="113"/>
      <c r="C33" s="113"/>
      <c r="D33" s="114" t="s">
        <v>294</v>
      </c>
      <c r="E33" s="115" t="s">
        <v>279</v>
      </c>
      <c r="F33" s="116">
        <v>750</v>
      </c>
      <c r="G33" s="117">
        <v>10.42</v>
      </c>
      <c r="H33" s="117">
        <f>ROUND(IF($I$1="YES",(G33*(1+$I$2)),(G32*(1+$I$2))),2)</f>
        <v>10.24</v>
      </c>
      <c r="I33" s="129">
        <f t="shared" si="3"/>
        <v>7680</v>
      </c>
      <c r="J33" s="119">
        <f>SUM(I32:I33)</f>
        <v>7680</v>
      </c>
      <c r="K33" s="120" t="s">
        <v>101</v>
      </c>
      <c r="L33" s="118">
        <f>ROUND((VLOOKUP(K33,$D$2:$E$10,2,FALSE))*J33,0)</f>
        <v>0</v>
      </c>
      <c r="M33" s="119">
        <f>ROUND(IF(K33="N",0,(J33*$I$3)),0)</f>
        <v>0</v>
      </c>
      <c r="N33" s="118">
        <f>ROUND((J33*$I$4),0)</f>
        <v>588</v>
      </c>
      <c r="O33" s="118">
        <f>ROUND(J33*$I$5,0)</f>
        <v>173</v>
      </c>
      <c r="P33" s="118">
        <f>ROUND(J33*$I$6,0)</f>
        <v>65</v>
      </c>
      <c r="Q33" s="121">
        <v>0</v>
      </c>
      <c r="R33" s="122">
        <f>ROUND(IF($Q33=0,0,((VLOOKUP($Q33,$K$3:$M$6,2,FALSE))*(1+$L$7))),0)</f>
        <v>0</v>
      </c>
      <c r="S33" s="122">
        <f>ROUND(IF($Q33=0,0,((VLOOKUP($Q33,$K$3:$M$6,3,FALSE))*(1+$M$7))),0)</f>
        <v>0</v>
      </c>
      <c r="T33" s="118">
        <f>SUM(R33,S33)</f>
        <v>0</v>
      </c>
      <c r="U33" s="118">
        <f>SUM(L33:P33,T33)</f>
        <v>826</v>
      </c>
      <c r="V33" s="118">
        <f>SUM(U33,J33)</f>
        <v>8506</v>
      </c>
      <c r="W33" s="111"/>
      <c r="X33" s="123"/>
    </row>
    <row r="34" spans="1:24" x14ac:dyDescent="0.2">
      <c r="A34" s="100" t="s">
        <v>295</v>
      </c>
      <c r="B34" s="100" t="s">
        <v>276</v>
      </c>
      <c r="C34" s="100" t="s">
        <v>296</v>
      </c>
      <c r="D34" s="101"/>
      <c r="E34" s="102" t="s">
        <v>279</v>
      </c>
      <c r="F34" s="103">
        <v>0</v>
      </c>
      <c r="G34" s="104">
        <v>12.86</v>
      </c>
      <c r="H34" s="104">
        <f>ROUND((G34*(1+$I$2)),2)</f>
        <v>12.86</v>
      </c>
      <c r="I34" s="126">
        <f>ROUND((H34*F34),0)</f>
        <v>0</v>
      </c>
      <c r="J34" s="106"/>
      <c r="K34" s="127"/>
      <c r="L34" s="108"/>
      <c r="M34" s="109"/>
      <c r="N34" s="108"/>
      <c r="O34" s="108"/>
      <c r="P34" s="108"/>
      <c r="Q34" s="128"/>
      <c r="R34" s="111"/>
      <c r="S34" s="111"/>
      <c r="T34" s="112"/>
      <c r="U34" s="108"/>
      <c r="V34" s="108"/>
      <c r="W34" s="111"/>
      <c r="X34" s="52"/>
    </row>
    <row r="35" spans="1:24" x14ac:dyDescent="0.2">
      <c r="A35" s="113"/>
      <c r="B35" s="113"/>
      <c r="C35" s="113"/>
      <c r="D35" s="114" t="s">
        <v>297</v>
      </c>
      <c r="E35" s="115" t="s">
        <v>279</v>
      </c>
      <c r="F35" s="116">
        <v>1000</v>
      </c>
      <c r="G35" s="117">
        <v>13.27</v>
      </c>
      <c r="H35" s="117">
        <f>ROUND(IF($I$1="YES",(G35*(1+$I$2)),(G34*(1+$I$2))),2)</f>
        <v>12.86</v>
      </c>
      <c r="I35" s="118">
        <f>ROUND((H35*F35),0)</f>
        <v>12860</v>
      </c>
      <c r="J35" s="119">
        <f>SUM(I34:I35)</f>
        <v>12860</v>
      </c>
      <c r="K35" s="120" t="s">
        <v>101</v>
      </c>
      <c r="L35" s="118">
        <f>ROUND((VLOOKUP(K35,$D$2:$E$10,2,FALSE))*J35,0)</f>
        <v>0</v>
      </c>
      <c r="M35" s="119">
        <f>ROUND(IF(K35="N",0,(J35*$I$3)),0)</f>
        <v>0</v>
      </c>
      <c r="N35" s="118">
        <f>ROUND((J35*$I$4),0)</f>
        <v>984</v>
      </c>
      <c r="O35" s="118">
        <f>ROUND(J35*$I$5,0)</f>
        <v>289</v>
      </c>
      <c r="P35" s="118">
        <f>ROUND(J35*$I$6,0)</f>
        <v>109</v>
      </c>
      <c r="Q35" s="121">
        <v>0</v>
      </c>
      <c r="R35" s="122">
        <f>ROUND(IF($Q35=0,0,((VLOOKUP($Q35,$K$3:$M$6,2,FALSE))*(1+$L$7))),0)</f>
        <v>0</v>
      </c>
      <c r="S35" s="122">
        <f>ROUND(IF($Q35=0,0,((VLOOKUP($Q35,$K$3:$M$6,3,FALSE))*(1+$M$7))),0)</f>
        <v>0</v>
      </c>
      <c r="T35" s="118">
        <f>SUM(R35,S35)</f>
        <v>0</v>
      </c>
      <c r="U35" s="118">
        <f>SUM(L35:P35,T35)</f>
        <v>1382</v>
      </c>
      <c r="V35" s="118">
        <f>SUM(U35,J35)</f>
        <v>14242</v>
      </c>
      <c r="W35" s="111"/>
      <c r="X35" s="123"/>
    </row>
    <row r="36" spans="1:24" x14ac:dyDescent="0.2">
      <c r="A36" s="40" t="s">
        <v>298</v>
      </c>
      <c r="B36" s="100" t="s">
        <v>276</v>
      </c>
      <c r="C36" s="100" t="s">
        <v>299</v>
      </c>
      <c r="D36" s="124"/>
      <c r="E36" s="125" t="s">
        <v>279</v>
      </c>
      <c r="F36" s="103">
        <v>0</v>
      </c>
      <c r="G36" s="104">
        <v>11.8</v>
      </c>
      <c r="H36" s="104">
        <f>ROUND((G36*(1+$I$2)),2)</f>
        <v>11.8</v>
      </c>
      <c r="I36" s="126">
        <f t="shared" ref="I36:I41" si="4">ROUND((H36*F36),0)</f>
        <v>0</v>
      </c>
      <c r="J36" s="106"/>
      <c r="K36" s="127"/>
      <c r="L36" s="108"/>
      <c r="M36" s="109"/>
      <c r="N36" s="108"/>
      <c r="O36" s="108"/>
      <c r="P36" s="108"/>
      <c r="Q36" s="128"/>
      <c r="R36" s="111"/>
      <c r="S36" s="111"/>
      <c r="T36" s="112"/>
      <c r="U36" s="108"/>
      <c r="V36" s="108"/>
      <c r="W36" s="111"/>
      <c r="X36" s="52"/>
    </row>
    <row r="37" spans="1:24" x14ac:dyDescent="0.2">
      <c r="A37" s="113"/>
      <c r="B37" s="113"/>
      <c r="C37" s="113"/>
      <c r="D37" s="114" t="s">
        <v>278</v>
      </c>
      <c r="E37" s="115" t="s">
        <v>279</v>
      </c>
      <c r="F37" s="116">
        <v>500</v>
      </c>
      <c r="G37" s="117">
        <v>12.14</v>
      </c>
      <c r="H37" s="117">
        <f>ROUND(IF($I$1="YES",(G37*(1+$I$2)),(G36*(1+$I$2))),2)</f>
        <v>11.8</v>
      </c>
      <c r="I37" s="129">
        <f t="shared" si="4"/>
        <v>5900</v>
      </c>
      <c r="J37" s="119">
        <f>SUM(I36:I37)</f>
        <v>5900</v>
      </c>
      <c r="K37" s="120" t="s">
        <v>101</v>
      </c>
      <c r="L37" s="118">
        <f>ROUND((VLOOKUP(K37,$D$2:$E$10,2,FALSE))*J37,0)</f>
        <v>0</v>
      </c>
      <c r="M37" s="119">
        <f>ROUND(IF(K37="N",0,(J37*$I$3)),0)</f>
        <v>0</v>
      </c>
      <c r="N37" s="118">
        <f>ROUND((J37*$I$4),0)</f>
        <v>451</v>
      </c>
      <c r="O37" s="118">
        <f>ROUND(J37*$I$5,0)</f>
        <v>133</v>
      </c>
      <c r="P37" s="118">
        <f>ROUND(J37*$I$6,0)</f>
        <v>50</v>
      </c>
      <c r="Q37" s="121">
        <v>0</v>
      </c>
      <c r="R37" s="122">
        <f>ROUND(IF($Q37=0,0,((VLOOKUP($Q37,$K$3:$M$6,2,FALSE))*(1+$L$7))),0)</f>
        <v>0</v>
      </c>
      <c r="S37" s="122">
        <f>ROUND(IF($Q37=0,0,((VLOOKUP($Q37,$K$3:$M$6,3,FALSE))*(1+$M$7))),0)</f>
        <v>0</v>
      </c>
      <c r="T37" s="118">
        <f>SUM(R37,S37)</f>
        <v>0</v>
      </c>
      <c r="U37" s="118">
        <f>SUM(L37:P37,T37)</f>
        <v>634</v>
      </c>
      <c r="V37" s="118">
        <f>SUM(U37,J37)</f>
        <v>6534</v>
      </c>
      <c r="W37" s="111"/>
      <c r="X37" s="123"/>
    </row>
    <row r="38" spans="1:24" x14ac:dyDescent="0.2">
      <c r="A38" s="40" t="s">
        <v>300</v>
      </c>
      <c r="B38" s="100" t="s">
        <v>276</v>
      </c>
      <c r="C38" s="100" t="s">
        <v>301</v>
      </c>
      <c r="D38" s="124"/>
      <c r="E38" s="102" t="s">
        <v>279</v>
      </c>
      <c r="F38" s="103">
        <v>0</v>
      </c>
      <c r="G38" s="104">
        <v>11.42</v>
      </c>
      <c r="H38" s="104">
        <f>ROUND((G38*(1+$I$2)),2)</f>
        <v>11.42</v>
      </c>
      <c r="I38" s="126">
        <f t="shared" si="4"/>
        <v>0</v>
      </c>
      <c r="J38" s="106"/>
      <c r="K38" s="127"/>
      <c r="L38" s="108"/>
      <c r="M38" s="109"/>
      <c r="N38" s="108"/>
      <c r="O38" s="108"/>
      <c r="P38" s="108"/>
      <c r="Q38" s="128"/>
      <c r="R38" s="111"/>
      <c r="S38" s="111"/>
      <c r="T38" s="112"/>
      <c r="U38" s="108"/>
      <c r="V38" s="108"/>
      <c r="W38" s="111"/>
      <c r="X38" s="52"/>
    </row>
    <row r="39" spans="1:24" x14ac:dyDescent="0.2">
      <c r="A39" s="113"/>
      <c r="B39" s="113"/>
      <c r="C39" s="113"/>
      <c r="D39" s="114" t="s">
        <v>278</v>
      </c>
      <c r="E39" s="115" t="s">
        <v>279</v>
      </c>
      <c r="F39" s="116">
        <v>1000</v>
      </c>
      <c r="G39" s="117">
        <v>11.8</v>
      </c>
      <c r="H39" s="117">
        <f>ROUND(IF($I$1="YES",(G39*(1+$I$2)),(G38*(1+$I$2))),2)</f>
        <v>11.42</v>
      </c>
      <c r="I39" s="129">
        <f t="shared" si="4"/>
        <v>11420</v>
      </c>
      <c r="J39" s="119">
        <f>SUM(I38:I39)</f>
        <v>11420</v>
      </c>
      <c r="K39" s="120" t="s">
        <v>101</v>
      </c>
      <c r="L39" s="118">
        <f>ROUND((VLOOKUP(K39,$D$2:$E$10,2,FALSE))*J39,0)</f>
        <v>0</v>
      </c>
      <c r="M39" s="119">
        <f>ROUND(IF(K39="N",0,(J39*$I$3)),0)</f>
        <v>0</v>
      </c>
      <c r="N39" s="118">
        <f>ROUND((J39*$I$4),0)</f>
        <v>874</v>
      </c>
      <c r="O39" s="118">
        <f>ROUND(J39*$I$5,0)</f>
        <v>257</v>
      </c>
      <c r="P39" s="118">
        <f>ROUND(J39*$I$6,0)</f>
        <v>97</v>
      </c>
      <c r="Q39" s="121">
        <v>0</v>
      </c>
      <c r="R39" s="122">
        <f>ROUND(IF($Q39=0,0,((VLOOKUP($Q39,$K$3:$M$6,2,FALSE))*(1+$L$7))),0)</f>
        <v>0</v>
      </c>
      <c r="S39" s="122">
        <f>ROUND(IF($Q39=0,0,((VLOOKUP($Q39,$K$3:$M$6,3,FALSE))*(1+$M$7))),0)</f>
        <v>0</v>
      </c>
      <c r="T39" s="118">
        <f>SUM(R39,S39)</f>
        <v>0</v>
      </c>
      <c r="U39" s="118">
        <f>SUM(L39:P39,T39)</f>
        <v>1228</v>
      </c>
      <c r="V39" s="118">
        <f>SUM(U39,J39)</f>
        <v>12648</v>
      </c>
      <c r="W39" s="111"/>
      <c r="X39" s="123"/>
    </row>
    <row r="40" spans="1:24" x14ac:dyDescent="0.2">
      <c r="A40" s="100" t="s">
        <v>302</v>
      </c>
      <c r="B40" s="100" t="s">
        <v>276</v>
      </c>
      <c r="C40" s="100" t="s">
        <v>644</v>
      </c>
      <c r="D40" s="124"/>
      <c r="E40" s="102" t="s">
        <v>279</v>
      </c>
      <c r="F40" s="103">
        <v>0</v>
      </c>
      <c r="G40" s="104">
        <v>10.09</v>
      </c>
      <c r="H40" s="104">
        <f>ROUND((G40*(1+$I$2)),2)</f>
        <v>10.09</v>
      </c>
      <c r="I40" s="126">
        <f t="shared" si="4"/>
        <v>0</v>
      </c>
      <c r="J40" s="106"/>
      <c r="K40" s="127"/>
      <c r="L40" s="108"/>
      <c r="M40" s="109"/>
      <c r="N40" s="108"/>
      <c r="O40" s="108"/>
      <c r="P40" s="108"/>
      <c r="Q40" s="128"/>
      <c r="R40" s="111"/>
      <c r="S40" s="111"/>
      <c r="T40" s="112"/>
      <c r="U40" s="108"/>
      <c r="V40" s="108"/>
      <c r="W40" s="111"/>
      <c r="X40" s="52"/>
    </row>
    <row r="41" spans="1:24" x14ac:dyDescent="0.2">
      <c r="A41" s="113"/>
      <c r="B41" s="113"/>
      <c r="C41" s="113"/>
      <c r="D41" s="114" t="s">
        <v>278</v>
      </c>
      <c r="E41" s="115" t="s">
        <v>279</v>
      </c>
      <c r="F41" s="116">
        <v>250</v>
      </c>
      <c r="G41" s="117">
        <v>10.09</v>
      </c>
      <c r="H41" s="117">
        <f>ROUND(IF($I$1="YES",(G41*(1+$I$2)),(G40*(1+$I$2))),2)</f>
        <v>10.09</v>
      </c>
      <c r="I41" s="129">
        <f t="shared" si="4"/>
        <v>2523</v>
      </c>
      <c r="J41" s="119">
        <f>SUM(I40:I41)</f>
        <v>2523</v>
      </c>
      <c r="K41" s="120" t="s">
        <v>101</v>
      </c>
      <c r="L41" s="118">
        <f>ROUND((VLOOKUP(K41,$D$2:$E$10,2,FALSE))*J41,0)</f>
        <v>0</v>
      </c>
      <c r="M41" s="119">
        <f>ROUND(IF(K41="N",0,(J41*$I$3)),0)</f>
        <v>0</v>
      </c>
      <c r="N41" s="118">
        <f>ROUND((J41*$I$4),0)</f>
        <v>193</v>
      </c>
      <c r="O41" s="118">
        <f>ROUND(J41*$I$5,0)</f>
        <v>57</v>
      </c>
      <c r="P41" s="118">
        <f>ROUND(J41*$I$6,0)</f>
        <v>21</v>
      </c>
      <c r="Q41" s="121">
        <v>0</v>
      </c>
      <c r="R41" s="122">
        <f>ROUND(IF($Q41=0,0,((VLOOKUP($Q41,$K$3:$M$6,2,FALSE))*(1+$L$7))),0)</f>
        <v>0</v>
      </c>
      <c r="S41" s="122">
        <f>ROUND(IF($Q41=0,0,((VLOOKUP($Q41,$K$3:$M$6,3,FALSE))*(1+$M$7))),0)</f>
        <v>0</v>
      </c>
      <c r="T41" s="118">
        <f>SUM(R41,S41)</f>
        <v>0</v>
      </c>
      <c r="U41" s="118">
        <f>SUM(L41:P41,T41)</f>
        <v>271</v>
      </c>
      <c r="V41" s="118">
        <f>SUM(U41,J41)</f>
        <v>2794</v>
      </c>
      <c r="W41" s="111"/>
      <c r="X41" s="123"/>
    </row>
    <row r="42" spans="1:24" x14ac:dyDescent="0.2">
      <c r="A42" s="100" t="s">
        <v>303</v>
      </c>
      <c r="B42" s="100" t="s">
        <v>276</v>
      </c>
      <c r="C42" s="100" t="s">
        <v>304</v>
      </c>
      <c r="D42" s="101"/>
      <c r="E42" s="102" t="s">
        <v>279</v>
      </c>
      <c r="F42" s="103">
        <v>0</v>
      </c>
      <c r="G42" s="104">
        <v>11.42</v>
      </c>
      <c r="H42" s="104">
        <f>ROUND((G42*(1+$I$2)),2)</f>
        <v>11.42</v>
      </c>
      <c r="I42" s="126">
        <f>ROUND((H42*F42),0)</f>
        <v>0</v>
      </c>
      <c r="J42" s="106"/>
      <c r="K42" s="127"/>
      <c r="L42" s="108"/>
      <c r="M42" s="109"/>
      <c r="N42" s="108"/>
      <c r="O42" s="108"/>
      <c r="P42" s="108"/>
      <c r="Q42" s="128"/>
      <c r="R42" s="111"/>
      <c r="S42" s="111"/>
      <c r="T42" s="112"/>
      <c r="U42" s="108"/>
      <c r="V42" s="108"/>
      <c r="W42" s="111"/>
      <c r="X42" s="52"/>
    </row>
    <row r="43" spans="1:24" x14ac:dyDescent="0.2">
      <c r="A43" s="113"/>
      <c r="B43" s="113"/>
      <c r="C43" s="113"/>
      <c r="D43" s="114" t="s">
        <v>278</v>
      </c>
      <c r="E43" s="115" t="s">
        <v>279</v>
      </c>
      <c r="F43" s="116">
        <v>250</v>
      </c>
      <c r="G43" s="117">
        <v>11.42</v>
      </c>
      <c r="H43" s="117">
        <f>ROUND(IF($I$1="YES",(G43*(1+$I$2)),(G42*(1+$I$2))),2)</f>
        <v>11.42</v>
      </c>
      <c r="I43" s="118">
        <f>ROUND((H43*F43),0)</f>
        <v>2855</v>
      </c>
      <c r="J43" s="119">
        <f>SUM(I42:I43)</f>
        <v>2855</v>
      </c>
      <c r="K43" s="120" t="s">
        <v>101</v>
      </c>
      <c r="L43" s="118">
        <f>ROUND((VLOOKUP(K43,$D$2:$E$10,2,FALSE))*J43,0)</f>
        <v>0</v>
      </c>
      <c r="M43" s="119">
        <f>ROUND(IF(K43="N",0,(J43*$I$3)),0)</f>
        <v>0</v>
      </c>
      <c r="N43" s="118">
        <f>ROUND((J43*$I$4),0)</f>
        <v>218</v>
      </c>
      <c r="O43" s="118">
        <f>ROUND(J43*$I$5,0)</f>
        <v>64</v>
      </c>
      <c r="P43" s="118">
        <f>ROUND(J43*$I$6,0)</f>
        <v>24</v>
      </c>
      <c r="Q43" s="121">
        <v>0</v>
      </c>
      <c r="R43" s="122">
        <f>ROUND(IF($Q43=0,0,((VLOOKUP($Q43,$K$3:$M$6,2,FALSE))*(1+$L$7))),0)</f>
        <v>0</v>
      </c>
      <c r="S43" s="122">
        <f>ROUND(IF($Q43=0,0,((VLOOKUP($Q43,$K$3:$M$6,3,FALSE))*(1+$M$7))),0)</f>
        <v>0</v>
      </c>
      <c r="T43" s="118">
        <f>SUM(R43,S43)</f>
        <v>0</v>
      </c>
      <c r="U43" s="118">
        <f>SUM(L43:P43,T43)</f>
        <v>306</v>
      </c>
      <c r="V43" s="118">
        <f>SUM(U43,J43)</f>
        <v>3161</v>
      </c>
      <c r="W43" s="111"/>
      <c r="X43" s="123"/>
    </row>
    <row r="44" spans="1:24" x14ac:dyDescent="0.2">
      <c r="A44" s="40" t="s">
        <v>305</v>
      </c>
      <c r="B44" s="100" t="s">
        <v>276</v>
      </c>
      <c r="C44" s="100" t="s">
        <v>644</v>
      </c>
      <c r="D44" s="124"/>
      <c r="E44" s="125" t="s">
        <v>279</v>
      </c>
      <c r="F44" s="103">
        <v>0</v>
      </c>
      <c r="G44" s="104">
        <v>10.09</v>
      </c>
      <c r="H44" s="104">
        <f>ROUND((G44*(1+$I$2)),2)</f>
        <v>10.09</v>
      </c>
      <c r="I44" s="126">
        <f t="shared" ref="I44:I49" si="5">ROUND((H44*F44),0)</f>
        <v>0</v>
      </c>
      <c r="J44" s="106"/>
      <c r="K44" s="127"/>
      <c r="L44" s="108"/>
      <c r="M44" s="109"/>
      <c r="N44" s="108"/>
      <c r="O44" s="108"/>
      <c r="P44" s="108"/>
      <c r="Q44" s="128"/>
      <c r="R44" s="111"/>
      <c r="S44" s="111"/>
      <c r="T44" s="112"/>
      <c r="U44" s="108"/>
      <c r="V44" s="108"/>
      <c r="W44" s="111"/>
      <c r="X44" s="52"/>
    </row>
    <row r="45" spans="1:24" x14ac:dyDescent="0.2">
      <c r="A45" s="113"/>
      <c r="B45" s="113"/>
      <c r="C45" s="113"/>
      <c r="D45" s="114" t="s">
        <v>278</v>
      </c>
      <c r="E45" s="115" t="s">
        <v>279</v>
      </c>
      <c r="F45" s="116">
        <v>250</v>
      </c>
      <c r="G45" s="117">
        <v>10.09</v>
      </c>
      <c r="H45" s="117">
        <f>ROUND(IF($I$1="YES",(G45*(1+$I$2)),(G44*(1+$I$2))),2)</f>
        <v>10.09</v>
      </c>
      <c r="I45" s="129">
        <f t="shared" si="5"/>
        <v>2523</v>
      </c>
      <c r="J45" s="119">
        <f>SUM(I44:I45)</f>
        <v>2523</v>
      </c>
      <c r="K45" s="120" t="s">
        <v>101</v>
      </c>
      <c r="L45" s="118">
        <f>ROUND((VLOOKUP(K45,$D$2:$E$10,2,FALSE))*J45,0)</f>
        <v>0</v>
      </c>
      <c r="M45" s="119">
        <f>ROUND(IF(K45="N",0,(J45*$I$3)),0)</f>
        <v>0</v>
      </c>
      <c r="N45" s="118">
        <f>ROUND((J45*$I$4),0)</f>
        <v>193</v>
      </c>
      <c r="O45" s="118">
        <f>ROUND(J45*$I$5,0)</f>
        <v>57</v>
      </c>
      <c r="P45" s="118">
        <f>ROUND(J45*$I$6,0)</f>
        <v>21</v>
      </c>
      <c r="Q45" s="121">
        <v>0</v>
      </c>
      <c r="R45" s="122">
        <f>ROUND(IF($Q45=0,0,((VLOOKUP($Q45,$K$3:$M$6,2,FALSE))*(1+$L$7))),0)</f>
        <v>0</v>
      </c>
      <c r="S45" s="122">
        <f>ROUND(IF($Q45=0,0,((VLOOKUP($Q45,$K$3:$M$6,3,FALSE))*(1+$M$7))),0)</f>
        <v>0</v>
      </c>
      <c r="T45" s="118">
        <f>SUM(R45,S45)</f>
        <v>0</v>
      </c>
      <c r="U45" s="118">
        <f>SUM(L45:P45,T45)</f>
        <v>271</v>
      </c>
      <c r="V45" s="118">
        <f>SUM(U45,J45)</f>
        <v>2794</v>
      </c>
      <c r="W45" s="111"/>
      <c r="X45" s="123"/>
    </row>
    <row r="46" spans="1:24" x14ac:dyDescent="0.2">
      <c r="A46" s="40" t="s">
        <v>306</v>
      </c>
      <c r="B46" s="100" t="s">
        <v>276</v>
      </c>
      <c r="C46" s="100" t="s">
        <v>307</v>
      </c>
      <c r="D46" s="124"/>
      <c r="E46" s="102" t="s">
        <v>279</v>
      </c>
      <c r="F46" s="103">
        <v>0</v>
      </c>
      <c r="G46" s="104">
        <v>7.77</v>
      </c>
      <c r="H46" s="104">
        <f>ROUND((G46*(1+$I$2)),2)</f>
        <v>7.77</v>
      </c>
      <c r="I46" s="126">
        <f t="shared" si="5"/>
        <v>0</v>
      </c>
      <c r="J46" s="106"/>
      <c r="K46" s="127"/>
      <c r="L46" s="108"/>
      <c r="M46" s="109"/>
      <c r="N46" s="108"/>
      <c r="O46" s="108"/>
      <c r="P46" s="108"/>
      <c r="Q46" s="128"/>
      <c r="R46" s="111"/>
      <c r="S46" s="111"/>
      <c r="T46" s="112"/>
      <c r="U46" s="108"/>
      <c r="V46" s="108"/>
      <c r="W46" s="111"/>
      <c r="X46" s="52"/>
    </row>
    <row r="47" spans="1:24" x14ac:dyDescent="0.2">
      <c r="A47" s="113"/>
      <c r="B47" s="113"/>
      <c r="C47" s="113"/>
      <c r="D47" s="114" t="s">
        <v>278</v>
      </c>
      <c r="E47" s="115" t="s">
        <v>279</v>
      </c>
      <c r="F47" s="116">
        <v>250</v>
      </c>
      <c r="G47" s="117">
        <v>8.02</v>
      </c>
      <c r="H47" s="117">
        <f>ROUND(IF($I$1="YES",(G47*(1+$I$2)),(G46*(1+$I$2))),2)</f>
        <v>7.77</v>
      </c>
      <c r="I47" s="129">
        <f t="shared" si="5"/>
        <v>1943</v>
      </c>
      <c r="J47" s="119">
        <f>SUM(I46:I47)</f>
        <v>1943</v>
      </c>
      <c r="K47" s="120" t="s">
        <v>101</v>
      </c>
      <c r="L47" s="118">
        <f>ROUND((VLOOKUP(K47,$D$2:$E$10,2,FALSE))*J47,0)</f>
        <v>0</v>
      </c>
      <c r="M47" s="119">
        <f>ROUND(IF(K47="N",0,(J47*$I$3)),0)</f>
        <v>0</v>
      </c>
      <c r="N47" s="118">
        <f>ROUND((J47*$I$4),0)</f>
        <v>149</v>
      </c>
      <c r="O47" s="118">
        <f>ROUND(J47*$I$5,0)</f>
        <v>44</v>
      </c>
      <c r="P47" s="118">
        <f>ROUND(J47*$I$6,0)</f>
        <v>17</v>
      </c>
      <c r="Q47" s="121">
        <v>0</v>
      </c>
      <c r="R47" s="122">
        <f>ROUND(IF($Q47=0,0,((VLOOKUP($Q47,$K$3:$M$6,2,FALSE))*(1+$L$7))),0)</f>
        <v>0</v>
      </c>
      <c r="S47" s="122">
        <f>ROUND(IF($Q47=0,0,((VLOOKUP($Q47,$K$3:$M$6,3,FALSE))*(1+$M$7))),0)</f>
        <v>0</v>
      </c>
      <c r="T47" s="118">
        <f>SUM(R47,S47)</f>
        <v>0</v>
      </c>
      <c r="U47" s="118">
        <f>SUM(L47:P47,T47)</f>
        <v>210</v>
      </c>
      <c r="V47" s="118">
        <f>SUM(U47,J47)</f>
        <v>2153</v>
      </c>
      <c r="W47" s="111"/>
      <c r="X47" s="123"/>
    </row>
    <row r="48" spans="1:24" x14ac:dyDescent="0.2">
      <c r="A48" s="100" t="s">
        <v>308</v>
      </c>
      <c r="B48" s="100" t="s">
        <v>276</v>
      </c>
      <c r="C48" s="100" t="s">
        <v>309</v>
      </c>
      <c r="D48" s="124"/>
      <c r="E48" s="102" t="s">
        <v>279</v>
      </c>
      <c r="F48" s="103">
        <v>0</v>
      </c>
      <c r="G48" s="104">
        <v>10.69</v>
      </c>
      <c r="H48" s="104">
        <f>ROUND((G48*(1+$I$2)),2)</f>
        <v>10.69</v>
      </c>
      <c r="I48" s="126">
        <f t="shared" si="5"/>
        <v>0</v>
      </c>
      <c r="J48" s="106"/>
      <c r="K48" s="127"/>
      <c r="L48" s="108"/>
      <c r="M48" s="109"/>
      <c r="N48" s="108"/>
      <c r="O48" s="108"/>
      <c r="P48" s="108"/>
      <c r="Q48" s="128"/>
      <c r="R48" s="111"/>
      <c r="S48" s="111"/>
      <c r="T48" s="112"/>
      <c r="U48" s="108"/>
      <c r="V48" s="108"/>
      <c r="W48" s="111"/>
      <c r="X48" s="52"/>
    </row>
    <row r="49" spans="1:24" x14ac:dyDescent="0.2">
      <c r="A49" s="113"/>
      <c r="B49" s="113"/>
      <c r="C49" s="113"/>
      <c r="D49" s="114" t="s">
        <v>278</v>
      </c>
      <c r="E49" s="115" t="s">
        <v>279</v>
      </c>
      <c r="F49" s="116">
        <v>250</v>
      </c>
      <c r="G49" s="117">
        <v>11.04</v>
      </c>
      <c r="H49" s="117">
        <f>ROUND(IF($I$1="YES",(G49*(1+$I$2)),(G48*(1+$I$2))),2)</f>
        <v>10.69</v>
      </c>
      <c r="I49" s="129">
        <f t="shared" si="5"/>
        <v>2673</v>
      </c>
      <c r="J49" s="119">
        <f>SUM(I48:I49)</f>
        <v>2673</v>
      </c>
      <c r="K49" s="120" t="s">
        <v>101</v>
      </c>
      <c r="L49" s="118">
        <f>ROUND((VLOOKUP(K49,$D$2:$E$10,2,FALSE))*J49,0)</f>
        <v>0</v>
      </c>
      <c r="M49" s="119">
        <f>ROUND(IF(K49="N",0,(J49*$I$3)),0)</f>
        <v>0</v>
      </c>
      <c r="N49" s="118">
        <f>ROUND((J49*$I$4),0)</f>
        <v>204</v>
      </c>
      <c r="O49" s="118">
        <f>ROUND(J49*$I$5,0)</f>
        <v>60</v>
      </c>
      <c r="P49" s="118">
        <f>ROUND(J49*$I$6,0)</f>
        <v>23</v>
      </c>
      <c r="Q49" s="121">
        <v>0</v>
      </c>
      <c r="R49" s="122">
        <f>ROUND(IF($Q49=0,0,((VLOOKUP($Q49,$K$3:$M$6,2,FALSE))*(1+$L$7))),0)</f>
        <v>0</v>
      </c>
      <c r="S49" s="122">
        <f>ROUND(IF($Q49=0,0,((VLOOKUP($Q49,$K$3:$M$6,3,FALSE))*(1+$M$7))),0)</f>
        <v>0</v>
      </c>
      <c r="T49" s="118">
        <f>SUM(R49,S49)</f>
        <v>0</v>
      </c>
      <c r="U49" s="118">
        <f>SUM(L49:P49,T49)</f>
        <v>287</v>
      </c>
      <c r="V49" s="118">
        <f>SUM(U49,J49)</f>
        <v>2960</v>
      </c>
      <c r="W49" s="111"/>
      <c r="X49" s="123"/>
    </row>
    <row r="50" spans="1:24" x14ac:dyDescent="0.2">
      <c r="A50" s="100" t="s">
        <v>310</v>
      </c>
      <c r="B50" s="100" t="s">
        <v>276</v>
      </c>
      <c r="C50" s="100" t="s">
        <v>311</v>
      </c>
      <c r="D50" s="101"/>
      <c r="E50" s="102" t="s">
        <v>279</v>
      </c>
      <c r="F50" s="103">
        <v>0</v>
      </c>
      <c r="G50" s="104">
        <v>11.08</v>
      </c>
      <c r="H50" s="104">
        <f>ROUND((G50*(1+$I$2)),2)</f>
        <v>11.08</v>
      </c>
      <c r="I50" s="126">
        <f>ROUND((H50*F50),0)</f>
        <v>0</v>
      </c>
      <c r="J50" s="106"/>
      <c r="K50" s="127"/>
      <c r="L50" s="108"/>
      <c r="M50" s="109"/>
      <c r="N50" s="108"/>
      <c r="O50" s="108"/>
      <c r="P50" s="108"/>
      <c r="Q50" s="128"/>
      <c r="R50" s="111"/>
      <c r="S50" s="111"/>
      <c r="T50" s="112"/>
      <c r="U50" s="108"/>
      <c r="V50" s="108"/>
      <c r="W50" s="111"/>
      <c r="X50" s="52"/>
    </row>
    <row r="51" spans="1:24" x14ac:dyDescent="0.2">
      <c r="A51" s="113"/>
      <c r="B51" s="113"/>
      <c r="C51" s="113"/>
      <c r="D51" s="114" t="s">
        <v>278</v>
      </c>
      <c r="E51" s="115" t="s">
        <v>279</v>
      </c>
      <c r="F51" s="116">
        <v>250</v>
      </c>
      <c r="G51" s="117">
        <v>11.08</v>
      </c>
      <c r="H51" s="117">
        <f>ROUND(IF($I$1="YES",(G51*(1+$I$2)),(G50*(1+$I$2))),2)</f>
        <v>11.08</v>
      </c>
      <c r="I51" s="118">
        <f>ROUND((H51*F51),0)</f>
        <v>2770</v>
      </c>
      <c r="J51" s="119">
        <f>SUM(I50:I51)</f>
        <v>2770</v>
      </c>
      <c r="K51" s="120" t="s">
        <v>101</v>
      </c>
      <c r="L51" s="118">
        <f>ROUND((VLOOKUP(K51,$D$2:$E$10,2,FALSE))*J51,0)</f>
        <v>0</v>
      </c>
      <c r="M51" s="119">
        <f>ROUND(IF(K51="N",0,(J51*$I$3)),0)</f>
        <v>0</v>
      </c>
      <c r="N51" s="118">
        <f>ROUND((J51*$I$4),0)</f>
        <v>212</v>
      </c>
      <c r="O51" s="118">
        <f>ROUND(J51*$I$5,0)</f>
        <v>62</v>
      </c>
      <c r="P51" s="118">
        <f>ROUND(J51*$I$6,0)</f>
        <v>24</v>
      </c>
      <c r="Q51" s="121">
        <v>0</v>
      </c>
      <c r="R51" s="122">
        <f>ROUND(IF($Q51=0,0,((VLOOKUP($Q51,$K$3:$M$6,2,FALSE))*(1+$L$7))),0)</f>
        <v>0</v>
      </c>
      <c r="S51" s="122">
        <f>ROUND(IF($Q51=0,0,((VLOOKUP($Q51,$K$3:$M$6,3,FALSE))*(1+$M$7))),0)</f>
        <v>0</v>
      </c>
      <c r="T51" s="118">
        <f>SUM(R51,S51)</f>
        <v>0</v>
      </c>
      <c r="U51" s="118">
        <f>SUM(L51:P51,T51)</f>
        <v>298</v>
      </c>
      <c r="V51" s="118">
        <f>SUM(U51,J51)</f>
        <v>3068</v>
      </c>
      <c r="W51" s="111"/>
      <c r="X51" s="123"/>
    </row>
    <row r="52" spans="1:24" x14ac:dyDescent="0.2">
      <c r="A52" s="40" t="s">
        <v>312</v>
      </c>
      <c r="B52" s="100" t="s">
        <v>276</v>
      </c>
      <c r="C52" s="100" t="s">
        <v>313</v>
      </c>
      <c r="D52" s="124"/>
      <c r="E52" s="125" t="s">
        <v>279</v>
      </c>
      <c r="F52" s="103">
        <v>0</v>
      </c>
      <c r="G52" s="104">
        <v>10.09</v>
      </c>
      <c r="H52" s="104">
        <f>ROUND((G52*(1+$I$2)),2)</f>
        <v>10.09</v>
      </c>
      <c r="I52" s="126">
        <f t="shared" ref="I52:I61" si="6">ROUND((H52*F52),0)</f>
        <v>0</v>
      </c>
      <c r="J52" s="106"/>
      <c r="K52" s="127"/>
      <c r="L52" s="108"/>
      <c r="M52" s="109"/>
      <c r="N52" s="108"/>
      <c r="O52" s="108"/>
      <c r="P52" s="108"/>
      <c r="Q52" s="128"/>
      <c r="R52" s="111"/>
      <c r="S52" s="111"/>
      <c r="T52" s="112"/>
      <c r="U52" s="108"/>
      <c r="V52" s="108"/>
      <c r="W52" s="111"/>
      <c r="X52" s="52"/>
    </row>
    <row r="53" spans="1:24" x14ac:dyDescent="0.2">
      <c r="A53" s="113"/>
      <c r="B53" s="113"/>
      <c r="C53" s="113"/>
      <c r="D53" s="114" t="s">
        <v>278</v>
      </c>
      <c r="E53" s="115" t="s">
        <v>279</v>
      </c>
      <c r="F53" s="116">
        <v>250</v>
      </c>
      <c r="G53" s="117">
        <v>10.09</v>
      </c>
      <c r="H53" s="117">
        <f>ROUND(IF($I$1="YES",(G53*(1+$I$2)),(G52*(1+$I$2))),2)</f>
        <v>10.09</v>
      </c>
      <c r="I53" s="129">
        <f t="shared" si="6"/>
        <v>2523</v>
      </c>
      <c r="J53" s="119">
        <f>SUM(I52:I53)</f>
        <v>2523</v>
      </c>
      <c r="K53" s="120" t="s">
        <v>101</v>
      </c>
      <c r="L53" s="118">
        <f>ROUND((VLOOKUP(K53,$D$2:$E$10,2,FALSE))*J53,0)</f>
        <v>0</v>
      </c>
      <c r="M53" s="119">
        <f>ROUND(IF(K53="N",0,(J53*$I$3)),0)</f>
        <v>0</v>
      </c>
      <c r="N53" s="118">
        <f>ROUND((J53*$I$4),0)</f>
        <v>193</v>
      </c>
      <c r="O53" s="118">
        <f>ROUND(J53*$I$5,0)</f>
        <v>57</v>
      </c>
      <c r="P53" s="118">
        <f>ROUND(J53*$I$6,0)</f>
        <v>21</v>
      </c>
      <c r="Q53" s="121">
        <v>0</v>
      </c>
      <c r="R53" s="122">
        <f>ROUND(IF($Q53=0,0,((VLOOKUP($Q53,$K$3:$M$6,2,FALSE))*(1+$L$7))),0)</f>
        <v>0</v>
      </c>
      <c r="S53" s="122">
        <f>ROUND(IF($Q53=0,0,((VLOOKUP($Q53,$K$3:$M$6,3,FALSE))*(1+$M$7))),0)</f>
        <v>0</v>
      </c>
      <c r="T53" s="118">
        <f>SUM(R53,S53)</f>
        <v>0</v>
      </c>
      <c r="U53" s="118">
        <f>SUM(L53:P53,T53)</f>
        <v>271</v>
      </c>
      <c r="V53" s="118">
        <f>SUM(U53,J53)</f>
        <v>2794</v>
      </c>
      <c r="W53" s="111"/>
      <c r="X53" s="123"/>
    </row>
    <row r="54" spans="1:24" x14ac:dyDescent="0.2">
      <c r="A54" s="40" t="s">
        <v>646</v>
      </c>
      <c r="B54" s="100" t="s">
        <v>276</v>
      </c>
      <c r="C54" s="100" t="s">
        <v>644</v>
      </c>
      <c r="D54" s="124"/>
      <c r="E54" s="102" t="s">
        <v>279</v>
      </c>
      <c r="F54" s="103">
        <v>0</v>
      </c>
      <c r="G54" s="104">
        <v>10.09</v>
      </c>
      <c r="H54" s="104">
        <f>ROUND((G54*(1+$I$2)),2)</f>
        <v>10.09</v>
      </c>
      <c r="I54" s="126">
        <f t="shared" ref="I54:I57" si="7">ROUND((H54*F54),0)</f>
        <v>0</v>
      </c>
      <c r="J54" s="106"/>
      <c r="K54" s="127"/>
      <c r="L54" s="108"/>
      <c r="M54" s="109"/>
      <c r="N54" s="108"/>
      <c r="O54" s="108"/>
      <c r="P54" s="108"/>
      <c r="Q54" s="128"/>
      <c r="R54" s="111"/>
      <c r="S54" s="111"/>
      <c r="T54" s="112"/>
      <c r="U54" s="108"/>
      <c r="V54" s="108"/>
      <c r="W54" s="111"/>
      <c r="X54" s="52"/>
    </row>
    <row r="55" spans="1:24" x14ac:dyDescent="0.2">
      <c r="A55" s="113"/>
      <c r="B55" s="113"/>
      <c r="C55" s="113"/>
      <c r="D55" s="114" t="s">
        <v>278</v>
      </c>
      <c r="E55" s="115" t="s">
        <v>279</v>
      </c>
      <c r="F55" s="116">
        <v>250</v>
      </c>
      <c r="G55" s="117">
        <v>10.09</v>
      </c>
      <c r="H55" s="117">
        <f>ROUND(IF($I$1="YES",(G55*(1+$I$2)),(G54*(1+$I$2))),2)</f>
        <v>10.09</v>
      </c>
      <c r="I55" s="129">
        <f t="shared" si="7"/>
        <v>2523</v>
      </c>
      <c r="J55" s="119">
        <f>SUM(I54:I55)</f>
        <v>2523</v>
      </c>
      <c r="K55" s="120" t="s">
        <v>101</v>
      </c>
      <c r="L55" s="118">
        <f>ROUND((VLOOKUP(K55,$D$2:$E$10,2,FALSE))*J55,0)</f>
        <v>0</v>
      </c>
      <c r="M55" s="119">
        <f>ROUND(IF(K55="N",0,(J55*$I$3)),0)</f>
        <v>0</v>
      </c>
      <c r="N55" s="118">
        <f>ROUND((J55*$I$4),0)</f>
        <v>193</v>
      </c>
      <c r="O55" s="118">
        <f>ROUND(J55*$I$5,0)</f>
        <v>57</v>
      </c>
      <c r="P55" s="118">
        <f>ROUND(J55*$I$6,0)</f>
        <v>21</v>
      </c>
      <c r="Q55" s="121">
        <v>0</v>
      </c>
      <c r="R55" s="122">
        <f>ROUND(IF($Q55=0,0,((VLOOKUP($Q55,$K$3:$M$6,2,FALSE))*(1+$L$7))),0)</f>
        <v>0</v>
      </c>
      <c r="S55" s="122">
        <f>ROUND(IF($Q55=0,0,((VLOOKUP($Q55,$K$3:$M$6,3,FALSE))*(1+$M$7))),0)</f>
        <v>0</v>
      </c>
      <c r="T55" s="118">
        <f>SUM(R55,S55)</f>
        <v>0</v>
      </c>
      <c r="U55" s="118">
        <f>SUM(L55:P55,T55)</f>
        <v>271</v>
      </c>
      <c r="V55" s="118">
        <f>SUM(U55,J55)</f>
        <v>2794</v>
      </c>
      <c r="W55" s="111"/>
      <c r="X55" s="123"/>
    </row>
    <row r="56" spans="1:24" x14ac:dyDescent="0.2">
      <c r="A56" s="40" t="s">
        <v>647</v>
      </c>
      <c r="B56" s="100" t="s">
        <v>276</v>
      </c>
      <c r="C56" s="100" t="s">
        <v>644</v>
      </c>
      <c r="D56" s="124"/>
      <c r="E56" s="102" t="s">
        <v>279</v>
      </c>
      <c r="F56" s="103">
        <v>0</v>
      </c>
      <c r="G56" s="104">
        <v>10.09</v>
      </c>
      <c r="H56" s="104">
        <f>ROUND((G56*(1+$I$2)),2)</f>
        <v>10.09</v>
      </c>
      <c r="I56" s="126">
        <f t="shared" si="7"/>
        <v>0</v>
      </c>
      <c r="J56" s="106"/>
      <c r="K56" s="127"/>
      <c r="L56" s="108"/>
      <c r="M56" s="109"/>
      <c r="N56" s="108"/>
      <c r="O56" s="108"/>
      <c r="P56" s="108"/>
      <c r="Q56" s="128"/>
      <c r="R56" s="111"/>
      <c r="S56" s="111"/>
      <c r="T56" s="112"/>
      <c r="U56" s="108"/>
      <c r="V56" s="108"/>
      <c r="W56" s="111"/>
      <c r="X56" s="52"/>
    </row>
    <row r="57" spans="1:24" x14ac:dyDescent="0.2">
      <c r="A57" s="113"/>
      <c r="B57" s="113"/>
      <c r="C57" s="113"/>
      <c r="D57" s="114" t="s">
        <v>278</v>
      </c>
      <c r="E57" s="115" t="s">
        <v>279</v>
      </c>
      <c r="F57" s="116">
        <v>250</v>
      </c>
      <c r="G57" s="117">
        <v>10.09</v>
      </c>
      <c r="H57" s="117">
        <f>ROUND(IF($I$1="YES",(G57*(1+$I$2)),(G56*(1+$I$2))),2)</f>
        <v>10.09</v>
      </c>
      <c r="I57" s="129">
        <f t="shared" si="7"/>
        <v>2523</v>
      </c>
      <c r="J57" s="119">
        <f>SUM(I56:I57)</f>
        <v>2523</v>
      </c>
      <c r="K57" s="120" t="s">
        <v>101</v>
      </c>
      <c r="L57" s="118">
        <f>ROUND((VLOOKUP(K57,$D$2:$E$10,2,FALSE))*J57,0)</f>
        <v>0</v>
      </c>
      <c r="M57" s="119">
        <f>ROUND(IF(K57="N",0,(J57*$I$3)),0)</f>
        <v>0</v>
      </c>
      <c r="N57" s="118">
        <f>ROUND((J57*$I$4),0)</f>
        <v>193</v>
      </c>
      <c r="O57" s="118">
        <f>ROUND(J57*$I$5,0)</f>
        <v>57</v>
      </c>
      <c r="P57" s="118">
        <f>ROUND(J57*$I$6,0)</f>
        <v>21</v>
      </c>
      <c r="Q57" s="121">
        <v>0</v>
      </c>
      <c r="R57" s="122">
        <f>ROUND(IF($Q57=0,0,((VLOOKUP($Q57,$K$3:$M$6,2,FALSE))*(1+$L$7))),0)</f>
        <v>0</v>
      </c>
      <c r="S57" s="122">
        <f>ROUND(IF($Q57=0,0,((VLOOKUP($Q57,$K$3:$M$6,3,FALSE))*(1+$M$7))),0)</f>
        <v>0</v>
      </c>
      <c r="T57" s="118">
        <f>SUM(R57,S57)</f>
        <v>0</v>
      </c>
      <c r="U57" s="118">
        <f>SUM(L57:P57,T57)</f>
        <v>271</v>
      </c>
      <c r="V57" s="118">
        <f>SUM(U57,J57)</f>
        <v>2794</v>
      </c>
      <c r="W57" s="111"/>
      <c r="X57" s="123"/>
    </row>
    <row r="58" spans="1:24" x14ac:dyDescent="0.2">
      <c r="A58" s="40" t="s">
        <v>314</v>
      </c>
      <c r="B58" s="100" t="s">
        <v>276</v>
      </c>
      <c r="C58" s="100" t="s">
        <v>315</v>
      </c>
      <c r="D58" s="124"/>
      <c r="E58" s="102" t="s">
        <v>279</v>
      </c>
      <c r="F58" s="103">
        <v>0</v>
      </c>
      <c r="G58" s="104">
        <v>11.08</v>
      </c>
      <c r="H58" s="104">
        <f>ROUND((G58*(1+$I$2)),2)</f>
        <v>11.08</v>
      </c>
      <c r="I58" s="126">
        <f t="shared" si="6"/>
        <v>0</v>
      </c>
      <c r="J58" s="106"/>
      <c r="K58" s="127"/>
      <c r="L58" s="108"/>
      <c r="M58" s="109"/>
      <c r="N58" s="108"/>
      <c r="O58" s="108"/>
      <c r="P58" s="108"/>
      <c r="Q58" s="128"/>
      <c r="R58" s="111"/>
      <c r="S58" s="111"/>
      <c r="T58" s="112"/>
      <c r="U58" s="108"/>
      <c r="V58" s="108"/>
      <c r="W58" s="111"/>
      <c r="X58" s="52"/>
    </row>
    <row r="59" spans="1:24" x14ac:dyDescent="0.2">
      <c r="A59" s="113"/>
      <c r="B59" s="113"/>
      <c r="C59" s="113"/>
      <c r="D59" s="114" t="s">
        <v>278</v>
      </c>
      <c r="E59" s="115" t="s">
        <v>279</v>
      </c>
      <c r="F59" s="116">
        <v>250</v>
      </c>
      <c r="G59" s="117">
        <v>11.28</v>
      </c>
      <c r="H59" s="117">
        <f>ROUND(IF($I$1="YES",(G59*(1+$I$2)),(G58*(1+$I$2))),2)</f>
        <v>11.08</v>
      </c>
      <c r="I59" s="129">
        <f t="shared" si="6"/>
        <v>2770</v>
      </c>
      <c r="J59" s="119">
        <f>SUM(I58:I59)</f>
        <v>2770</v>
      </c>
      <c r="K59" s="120" t="s">
        <v>101</v>
      </c>
      <c r="L59" s="118">
        <f>ROUND((VLOOKUP(K59,$D$2:$E$10,2,FALSE))*J59,0)</f>
        <v>0</v>
      </c>
      <c r="M59" s="119">
        <f>ROUND(IF(K59="N",0,(J59*$I$3)),0)</f>
        <v>0</v>
      </c>
      <c r="N59" s="118">
        <f>ROUND((J59*$I$4),0)</f>
        <v>212</v>
      </c>
      <c r="O59" s="118">
        <f>ROUND(J59*$I$5,0)</f>
        <v>62</v>
      </c>
      <c r="P59" s="118">
        <f>ROUND(J59*$I$6,0)</f>
        <v>24</v>
      </c>
      <c r="Q59" s="121">
        <v>0</v>
      </c>
      <c r="R59" s="122">
        <f>ROUND(IF($Q59=0,0,((VLOOKUP($Q59,$K$3:$M$6,2,FALSE))*(1+$L$7))),0)</f>
        <v>0</v>
      </c>
      <c r="S59" s="122">
        <f>ROUND(IF($Q59=0,0,((VLOOKUP($Q59,$K$3:$M$6,3,FALSE))*(1+$M$7))),0)</f>
        <v>0</v>
      </c>
      <c r="T59" s="118">
        <f>SUM(R59,S59)</f>
        <v>0</v>
      </c>
      <c r="U59" s="118">
        <f>SUM(L59:P59,T59)</f>
        <v>298</v>
      </c>
      <c r="V59" s="118">
        <f>SUM(U59,J59)</f>
        <v>3068</v>
      </c>
      <c r="W59" s="111"/>
      <c r="X59" s="123"/>
    </row>
    <row r="60" spans="1:24" x14ac:dyDescent="0.2">
      <c r="A60" s="100" t="s">
        <v>316</v>
      </c>
      <c r="B60" s="100" t="s">
        <v>276</v>
      </c>
      <c r="C60" s="100" t="s">
        <v>317</v>
      </c>
      <c r="D60" s="124"/>
      <c r="E60" s="102" t="s">
        <v>279</v>
      </c>
      <c r="F60" s="103">
        <v>0</v>
      </c>
      <c r="G60" s="104">
        <v>10.24</v>
      </c>
      <c r="H60" s="104">
        <f>ROUND((G60*(1+$I$2)),2)</f>
        <v>10.24</v>
      </c>
      <c r="I60" s="126">
        <f t="shared" si="6"/>
        <v>0</v>
      </c>
      <c r="J60" s="106"/>
      <c r="K60" s="127"/>
      <c r="L60" s="108"/>
      <c r="M60" s="109"/>
      <c r="N60" s="108"/>
      <c r="O60" s="108"/>
      <c r="P60" s="108"/>
      <c r="Q60" s="128"/>
      <c r="R60" s="111"/>
      <c r="S60" s="111"/>
      <c r="T60" s="112"/>
      <c r="U60" s="108"/>
      <c r="V60" s="108"/>
      <c r="W60" s="111"/>
      <c r="X60" s="52"/>
    </row>
    <row r="61" spans="1:24" x14ac:dyDescent="0.2">
      <c r="A61" s="113"/>
      <c r="B61" s="113"/>
      <c r="C61" s="113"/>
      <c r="D61" s="114" t="s">
        <v>278</v>
      </c>
      <c r="E61" s="115" t="s">
        <v>279</v>
      </c>
      <c r="F61" s="116">
        <v>500</v>
      </c>
      <c r="G61" s="117">
        <v>10.42</v>
      </c>
      <c r="H61" s="117">
        <f>ROUND(IF($I$1="YES",(G61*(1+$I$2)),(G60*(1+$I$2))),2)</f>
        <v>10.24</v>
      </c>
      <c r="I61" s="129">
        <f t="shared" si="6"/>
        <v>5120</v>
      </c>
      <c r="J61" s="119">
        <f>SUM(I60:I61)</f>
        <v>5120</v>
      </c>
      <c r="K61" s="120" t="s">
        <v>101</v>
      </c>
      <c r="L61" s="118">
        <f>ROUND((VLOOKUP(K61,$D$2:$E$10,2,FALSE))*J61,0)</f>
        <v>0</v>
      </c>
      <c r="M61" s="119">
        <f>ROUND(IF(K61="N",0,(J61*$I$3)),0)</f>
        <v>0</v>
      </c>
      <c r="N61" s="118">
        <f>ROUND((J61*$I$4),0)</f>
        <v>392</v>
      </c>
      <c r="O61" s="118">
        <f>ROUND(J61*$I$5,0)</f>
        <v>115</v>
      </c>
      <c r="P61" s="118">
        <f>ROUND(J61*$I$6,0)</f>
        <v>44</v>
      </c>
      <c r="Q61" s="121">
        <v>0</v>
      </c>
      <c r="R61" s="122">
        <f>ROUND(IF($Q61=0,0,((VLOOKUP($Q61,$K$3:$M$6,2,FALSE))*(1+$L$7))),0)</f>
        <v>0</v>
      </c>
      <c r="S61" s="122">
        <f>ROUND(IF($Q61=0,0,((VLOOKUP($Q61,$K$3:$M$6,3,FALSE))*(1+$M$7))),0)</f>
        <v>0</v>
      </c>
      <c r="T61" s="118">
        <f>SUM(R61,S61)</f>
        <v>0</v>
      </c>
      <c r="U61" s="118">
        <f>SUM(L61:P61,T61)</f>
        <v>551</v>
      </c>
      <c r="V61" s="118">
        <f>SUM(U61,J61)</f>
        <v>5671</v>
      </c>
      <c r="W61" s="111"/>
      <c r="X61" s="123"/>
    </row>
    <row r="62" spans="1:24" x14ac:dyDescent="0.2">
      <c r="A62" s="100" t="s">
        <v>318</v>
      </c>
      <c r="B62" s="100" t="s">
        <v>276</v>
      </c>
      <c r="C62" s="100" t="s">
        <v>319</v>
      </c>
      <c r="D62" s="101"/>
      <c r="E62" s="102" t="s">
        <v>279</v>
      </c>
      <c r="F62" s="103">
        <v>0</v>
      </c>
      <c r="G62" s="104">
        <v>38.71</v>
      </c>
      <c r="H62" s="104">
        <f>ROUND((G62*(1+$I$2)),2)</f>
        <v>38.71</v>
      </c>
      <c r="I62" s="126">
        <f>ROUND((H62*F62),0)</f>
        <v>0</v>
      </c>
      <c r="J62" s="106"/>
      <c r="K62" s="127"/>
      <c r="L62" s="108"/>
      <c r="M62" s="109"/>
      <c r="N62" s="108"/>
      <c r="O62" s="108"/>
      <c r="P62" s="108"/>
      <c r="Q62" s="128"/>
      <c r="R62" s="111"/>
      <c r="S62" s="111"/>
      <c r="T62" s="112"/>
      <c r="U62" s="108"/>
      <c r="V62" s="108"/>
      <c r="W62" s="111"/>
      <c r="X62" s="52"/>
    </row>
    <row r="63" spans="1:24" x14ac:dyDescent="0.2">
      <c r="A63" s="113"/>
      <c r="B63" s="113"/>
      <c r="C63" s="113"/>
      <c r="D63" s="114" t="s">
        <v>278</v>
      </c>
      <c r="E63" s="115" t="s">
        <v>279</v>
      </c>
      <c r="F63" s="116">
        <v>250</v>
      </c>
      <c r="G63" s="117">
        <v>39.479999999999997</v>
      </c>
      <c r="H63" s="117">
        <f>ROUND(IF($I$1="YES",(G63*(1+$I$2)),(G62*(1+$I$2))),2)</f>
        <v>38.71</v>
      </c>
      <c r="I63" s="118">
        <f>ROUND((H63*F63),0)</f>
        <v>9678</v>
      </c>
      <c r="J63" s="119">
        <f>SUM(I62:I63)</f>
        <v>9678</v>
      </c>
      <c r="K63" s="120" t="s">
        <v>101</v>
      </c>
      <c r="L63" s="118">
        <f>ROUND((VLOOKUP(K63,$D$2:$E$10,2,FALSE))*J63,0)</f>
        <v>0</v>
      </c>
      <c r="M63" s="119">
        <f>ROUND(IF(K63="N",0,(J63*$I$3)),0)</f>
        <v>0</v>
      </c>
      <c r="N63" s="118">
        <f>ROUND((J63*$I$4),0)</f>
        <v>740</v>
      </c>
      <c r="O63" s="118">
        <f>ROUND(J63*$I$5,0)</f>
        <v>218</v>
      </c>
      <c r="P63" s="118">
        <f>ROUND(J63*$I$6,0)</f>
        <v>82</v>
      </c>
      <c r="Q63" s="121">
        <v>0</v>
      </c>
      <c r="R63" s="122">
        <f>ROUND(IF($Q63=0,0,((VLOOKUP($Q63,$K$3:$M$6,2,FALSE))*(1+$L$7))),0)</f>
        <v>0</v>
      </c>
      <c r="S63" s="122">
        <f>ROUND(IF($Q63=0,0,((VLOOKUP($Q63,$K$3:$M$6,3,FALSE))*(1+$M$7))),0)</f>
        <v>0</v>
      </c>
      <c r="T63" s="118">
        <f>SUM(R63,S63)</f>
        <v>0</v>
      </c>
      <c r="U63" s="118">
        <f>SUM(L63:P63,T63)</f>
        <v>1040</v>
      </c>
      <c r="V63" s="118">
        <f>SUM(U63,J63)</f>
        <v>10718</v>
      </c>
      <c r="W63" s="111"/>
      <c r="X63" s="123"/>
    </row>
    <row r="64" spans="1:24" x14ac:dyDescent="0.2">
      <c r="A64" s="100" t="s">
        <v>650</v>
      </c>
      <c r="B64" s="100" t="s">
        <v>276</v>
      </c>
      <c r="C64" s="100" t="s">
        <v>644</v>
      </c>
      <c r="D64" s="101"/>
      <c r="E64" s="102" t="s">
        <v>279</v>
      </c>
      <c r="F64" s="103">
        <v>0</v>
      </c>
      <c r="G64" s="104">
        <v>10.09</v>
      </c>
      <c r="H64" s="104">
        <f>ROUND((G64*(1+$I$2)),2)</f>
        <v>10.09</v>
      </c>
      <c r="I64" s="126">
        <f>ROUND((H64*F64),0)</f>
        <v>0</v>
      </c>
      <c r="J64" s="106"/>
      <c r="K64" s="127"/>
      <c r="L64" s="108"/>
      <c r="M64" s="109"/>
      <c r="N64" s="108"/>
      <c r="O64" s="108"/>
      <c r="P64" s="108"/>
      <c r="Q64" s="128"/>
      <c r="R64" s="111"/>
      <c r="S64" s="111"/>
      <c r="T64" s="112"/>
      <c r="U64" s="108"/>
      <c r="V64" s="108"/>
      <c r="W64" s="111"/>
      <c r="X64" s="52"/>
    </row>
    <row r="65" spans="1:24" x14ac:dyDescent="0.2">
      <c r="A65" s="113"/>
      <c r="B65" s="113"/>
      <c r="C65" s="113"/>
      <c r="D65" s="114" t="s">
        <v>278</v>
      </c>
      <c r="E65" s="115" t="s">
        <v>279</v>
      </c>
      <c r="F65" s="116">
        <v>250</v>
      </c>
      <c r="G65" s="117">
        <v>10.09</v>
      </c>
      <c r="H65" s="117">
        <f>ROUND(IF($I$1="YES",(G65*(1+$I$2)),(G64*(1+$I$2))),2)</f>
        <v>10.09</v>
      </c>
      <c r="I65" s="118">
        <f>ROUND((H65*F65),0)</f>
        <v>2523</v>
      </c>
      <c r="J65" s="119">
        <f>SUM(I64:I65)</f>
        <v>2523</v>
      </c>
      <c r="K65" s="120" t="s">
        <v>101</v>
      </c>
      <c r="L65" s="118">
        <f>ROUND((VLOOKUP(K65,$D$2:$E$10,2,FALSE))*J65,0)</f>
        <v>0</v>
      </c>
      <c r="M65" s="119">
        <f>ROUND(IF(K65="N",0,(J65*$I$3)),0)</f>
        <v>0</v>
      </c>
      <c r="N65" s="118">
        <f>ROUND((J65*$I$4),0)</f>
        <v>193</v>
      </c>
      <c r="O65" s="118">
        <f>ROUND(J65*$I$5,0)</f>
        <v>57</v>
      </c>
      <c r="P65" s="118">
        <f>ROUND(J65*$I$6,0)</f>
        <v>21</v>
      </c>
      <c r="Q65" s="121">
        <v>0</v>
      </c>
      <c r="R65" s="122">
        <f>ROUND(IF($Q65=0,0,((VLOOKUP($Q65,$K$3:$M$6,2,FALSE))*(1+$L$7))),0)</f>
        <v>0</v>
      </c>
      <c r="S65" s="122">
        <f>ROUND(IF($Q65=0,0,((VLOOKUP($Q65,$K$3:$M$6,3,FALSE))*(1+$M$7))),0)</f>
        <v>0</v>
      </c>
      <c r="T65" s="118">
        <f>SUM(R65,S65)</f>
        <v>0</v>
      </c>
      <c r="U65" s="118">
        <f>SUM(L65:P65,T65)</f>
        <v>271</v>
      </c>
      <c r="V65" s="118">
        <f>SUM(U65,J65)</f>
        <v>2794</v>
      </c>
      <c r="W65" s="111"/>
      <c r="X65" s="123"/>
    </row>
    <row r="66" spans="1:24" x14ac:dyDescent="0.2">
      <c r="A66" s="40" t="s">
        <v>320</v>
      </c>
      <c r="B66" s="100" t="s">
        <v>276</v>
      </c>
      <c r="C66" s="100" t="s">
        <v>321</v>
      </c>
      <c r="D66" s="124"/>
      <c r="E66" s="125" t="s">
        <v>279</v>
      </c>
      <c r="F66" s="103">
        <v>0</v>
      </c>
      <c r="G66" s="104">
        <v>7.55</v>
      </c>
      <c r="H66" s="104">
        <f>ROUND((G66*(1+$I$2)),2)</f>
        <v>7.55</v>
      </c>
      <c r="I66" s="126">
        <f t="shared" ref="I66:I79" si="8">ROUND((H66*F66),0)</f>
        <v>0</v>
      </c>
      <c r="J66" s="106"/>
      <c r="K66" s="127"/>
      <c r="L66" s="108"/>
      <c r="M66" s="109"/>
      <c r="N66" s="108"/>
      <c r="O66" s="108"/>
      <c r="P66" s="108"/>
      <c r="Q66" s="128"/>
      <c r="R66" s="111"/>
      <c r="S66" s="111"/>
      <c r="T66" s="112"/>
      <c r="U66" s="108"/>
      <c r="V66" s="108"/>
      <c r="W66" s="111"/>
      <c r="X66" s="52"/>
    </row>
    <row r="67" spans="1:24" x14ac:dyDescent="0.2">
      <c r="A67" s="113"/>
      <c r="B67" s="113"/>
      <c r="C67" s="113"/>
      <c r="D67" s="114" t="s">
        <v>278</v>
      </c>
      <c r="E67" s="115" t="s">
        <v>279</v>
      </c>
      <c r="F67" s="116">
        <v>250</v>
      </c>
      <c r="G67" s="117">
        <v>7.55</v>
      </c>
      <c r="H67" s="117">
        <f>ROUND(IF($I$1="YES",(G67*(1+$I$2)),(G66*(1+$I$2))),2)</f>
        <v>7.55</v>
      </c>
      <c r="I67" s="129">
        <f t="shared" si="8"/>
        <v>1888</v>
      </c>
      <c r="J67" s="119">
        <f>SUM(I66:I67)</f>
        <v>1888</v>
      </c>
      <c r="K67" s="120" t="s">
        <v>101</v>
      </c>
      <c r="L67" s="118">
        <f>ROUND((VLOOKUP(K67,$D$2:$E$10,2,FALSE))*J67,0)</f>
        <v>0</v>
      </c>
      <c r="M67" s="119">
        <f>ROUND(IF(K67="N",0,(J67*$I$3)),0)</f>
        <v>0</v>
      </c>
      <c r="N67" s="118">
        <f>ROUND((J67*$I$4),0)</f>
        <v>144</v>
      </c>
      <c r="O67" s="118">
        <f>ROUND(J67*$I$5,0)</f>
        <v>42</v>
      </c>
      <c r="P67" s="118">
        <f>ROUND(J67*$I$6,0)</f>
        <v>16</v>
      </c>
      <c r="Q67" s="121">
        <v>0</v>
      </c>
      <c r="R67" s="122">
        <f>ROUND(IF($Q67=0,0,((VLOOKUP($Q67,$K$3:$M$6,2,FALSE))*(1+$L$7))),0)</f>
        <v>0</v>
      </c>
      <c r="S67" s="122">
        <f>ROUND(IF($Q67=0,0,((VLOOKUP($Q67,$K$3:$M$6,3,FALSE))*(1+$M$7))),0)</f>
        <v>0</v>
      </c>
      <c r="T67" s="118">
        <f>SUM(R67,S67)</f>
        <v>0</v>
      </c>
      <c r="U67" s="118">
        <f>SUM(L67:P67,T67)</f>
        <v>202</v>
      </c>
      <c r="V67" s="118">
        <f>SUM(U67,J67)</f>
        <v>2090</v>
      </c>
      <c r="W67" s="111"/>
      <c r="X67" s="123"/>
    </row>
    <row r="68" spans="1:24" x14ac:dyDescent="0.2">
      <c r="A68" s="40" t="s">
        <v>651</v>
      </c>
      <c r="B68" s="100" t="s">
        <v>276</v>
      </c>
      <c r="C68" s="100" t="s">
        <v>644</v>
      </c>
      <c r="D68" s="124"/>
      <c r="E68" s="125" t="s">
        <v>279</v>
      </c>
      <c r="F68" s="103">
        <v>0</v>
      </c>
      <c r="G68" s="104">
        <v>7.33</v>
      </c>
      <c r="H68" s="104">
        <f>ROUND((G68*(1+$I$2)),2)</f>
        <v>7.33</v>
      </c>
      <c r="I68" s="126">
        <f t="shared" ref="I68:I69" si="9">ROUND((H68*F68),0)</f>
        <v>0</v>
      </c>
      <c r="J68" s="106"/>
      <c r="K68" s="127"/>
      <c r="L68" s="108"/>
      <c r="M68" s="109"/>
      <c r="N68" s="108"/>
      <c r="O68" s="108"/>
      <c r="P68" s="108"/>
      <c r="Q68" s="128"/>
      <c r="R68" s="111"/>
      <c r="S68" s="111"/>
      <c r="T68" s="112"/>
      <c r="U68" s="108"/>
      <c r="V68" s="108"/>
      <c r="W68" s="111"/>
      <c r="X68" s="52"/>
    </row>
    <row r="69" spans="1:24" x14ac:dyDescent="0.2">
      <c r="A69" s="113"/>
      <c r="B69" s="113"/>
      <c r="C69" s="113"/>
      <c r="D69" s="114" t="s">
        <v>278</v>
      </c>
      <c r="E69" s="115" t="s">
        <v>279</v>
      </c>
      <c r="F69" s="116">
        <v>250</v>
      </c>
      <c r="G69" s="117">
        <v>7.33</v>
      </c>
      <c r="H69" s="117">
        <f>ROUND(IF($I$1="YES",(G69*(1+$I$2)),(G68*(1+$I$2))),2)</f>
        <v>7.33</v>
      </c>
      <c r="I69" s="129">
        <f t="shared" si="9"/>
        <v>1833</v>
      </c>
      <c r="J69" s="119">
        <f>SUM(I68:I69)</f>
        <v>1833</v>
      </c>
      <c r="K69" s="120" t="s">
        <v>101</v>
      </c>
      <c r="L69" s="118">
        <f>ROUND((VLOOKUP(K69,$D$2:$E$10,2,FALSE))*J69,0)</f>
        <v>0</v>
      </c>
      <c r="M69" s="119">
        <f>ROUND(IF(K69="N",0,(J69*$I$3)),0)</f>
        <v>0</v>
      </c>
      <c r="N69" s="118">
        <f>ROUND((J69*$I$4),0)</f>
        <v>140</v>
      </c>
      <c r="O69" s="118">
        <f>ROUND(J69*$I$5,0)</f>
        <v>41</v>
      </c>
      <c r="P69" s="118">
        <f>ROUND(J69*$I$6,0)</f>
        <v>16</v>
      </c>
      <c r="Q69" s="121">
        <v>0</v>
      </c>
      <c r="R69" s="122">
        <f>ROUND(IF($Q69=0,0,((VLOOKUP($Q69,$K$3:$M$6,2,FALSE))*(1+$L$7))),0)</f>
        <v>0</v>
      </c>
      <c r="S69" s="122">
        <f>ROUND(IF($Q69=0,0,((VLOOKUP($Q69,$K$3:$M$6,3,FALSE))*(1+$M$7))),0)</f>
        <v>0</v>
      </c>
      <c r="T69" s="118">
        <f>SUM(R69,S69)</f>
        <v>0</v>
      </c>
      <c r="U69" s="118">
        <f>SUM(L69:P69,T69)</f>
        <v>197</v>
      </c>
      <c r="V69" s="118">
        <f>SUM(U69,J69)</f>
        <v>2030</v>
      </c>
      <c r="W69" s="111"/>
      <c r="X69" s="123"/>
    </row>
    <row r="70" spans="1:24" x14ac:dyDescent="0.2">
      <c r="A70" s="40" t="s">
        <v>322</v>
      </c>
      <c r="B70" s="100" t="s">
        <v>276</v>
      </c>
      <c r="C70" s="100" t="s">
        <v>323</v>
      </c>
      <c r="D70" s="124"/>
      <c r="E70" s="102" t="s">
        <v>279</v>
      </c>
      <c r="F70" s="103">
        <v>0</v>
      </c>
      <c r="G70" s="104">
        <v>7.33</v>
      </c>
      <c r="H70" s="104">
        <f>ROUND((G70*(1+$I$2)),2)</f>
        <v>7.33</v>
      </c>
      <c r="I70" s="126">
        <f t="shared" si="8"/>
        <v>0</v>
      </c>
      <c r="J70" s="106"/>
      <c r="K70" s="127"/>
      <c r="L70" s="108"/>
      <c r="M70" s="109"/>
      <c r="N70" s="108"/>
      <c r="O70" s="108"/>
      <c r="P70" s="108"/>
      <c r="Q70" s="128"/>
      <c r="R70" s="111"/>
      <c r="S70" s="111"/>
      <c r="T70" s="112"/>
      <c r="U70" s="108"/>
      <c r="V70" s="108"/>
      <c r="W70" s="111"/>
      <c r="X70" s="52"/>
    </row>
    <row r="71" spans="1:24" x14ac:dyDescent="0.2">
      <c r="A71" s="113"/>
      <c r="B71" s="113"/>
      <c r="C71" s="113"/>
      <c r="D71" s="114" t="s">
        <v>278</v>
      </c>
      <c r="E71" s="115" t="s">
        <v>279</v>
      </c>
      <c r="F71" s="116">
        <v>250</v>
      </c>
      <c r="G71" s="117">
        <v>7.33</v>
      </c>
      <c r="H71" s="117">
        <f>ROUND(IF($I$1="YES",(G71*(1+$I$2)),(G70*(1+$I$2))),2)</f>
        <v>7.33</v>
      </c>
      <c r="I71" s="129">
        <f t="shared" si="8"/>
        <v>1833</v>
      </c>
      <c r="J71" s="119">
        <f>SUM(I70:I71)</f>
        <v>1833</v>
      </c>
      <c r="K71" s="120" t="s">
        <v>101</v>
      </c>
      <c r="L71" s="118">
        <f>ROUND((VLOOKUP(K71,$D$2:$E$10,2,FALSE))*J71,0)</f>
        <v>0</v>
      </c>
      <c r="M71" s="119">
        <f>ROUND(IF(K71="N",0,(J71*$I$3)),0)</f>
        <v>0</v>
      </c>
      <c r="N71" s="118">
        <f>ROUND((J71*$I$4),0)</f>
        <v>140</v>
      </c>
      <c r="O71" s="118">
        <f>ROUND(J71*$I$5,0)</f>
        <v>41</v>
      </c>
      <c r="P71" s="118">
        <f>ROUND(J71*$I$6,0)</f>
        <v>16</v>
      </c>
      <c r="Q71" s="121">
        <v>0</v>
      </c>
      <c r="R71" s="122">
        <f>ROUND(IF($Q71=0,0,((VLOOKUP($Q71,$K$3:$M$6,2,FALSE))*(1+$L$7))),0)</f>
        <v>0</v>
      </c>
      <c r="S71" s="122">
        <f>ROUND(IF($Q71=0,0,((VLOOKUP($Q71,$K$3:$M$6,3,FALSE))*(1+$M$7))),0)</f>
        <v>0</v>
      </c>
      <c r="T71" s="118">
        <f>SUM(R71,S71)</f>
        <v>0</v>
      </c>
      <c r="U71" s="118">
        <f>SUM(L71:P71,T71)</f>
        <v>197</v>
      </c>
      <c r="V71" s="118">
        <f>SUM(U71,J71)</f>
        <v>2030</v>
      </c>
      <c r="W71" s="111"/>
      <c r="X71" s="123"/>
    </row>
    <row r="72" spans="1:24" x14ac:dyDescent="0.2">
      <c r="A72" s="40" t="s">
        <v>652</v>
      </c>
      <c r="B72" s="100" t="s">
        <v>276</v>
      </c>
      <c r="C72" s="100" t="s">
        <v>644</v>
      </c>
      <c r="D72" s="124"/>
      <c r="E72" s="125" t="s">
        <v>279</v>
      </c>
      <c r="F72" s="103">
        <v>0</v>
      </c>
      <c r="G72" s="104">
        <v>7.33</v>
      </c>
      <c r="H72" s="104">
        <f>ROUND((G72*(1+$I$2)),2)</f>
        <v>7.33</v>
      </c>
      <c r="I72" s="126">
        <f t="shared" ref="I72:I73" si="10">ROUND((H72*F72),0)</f>
        <v>0</v>
      </c>
      <c r="J72" s="106"/>
      <c r="K72" s="127"/>
      <c r="L72" s="108"/>
      <c r="M72" s="109"/>
      <c r="N72" s="108"/>
      <c r="O72" s="108"/>
      <c r="P72" s="108"/>
      <c r="Q72" s="128"/>
      <c r="R72" s="111"/>
      <c r="S72" s="111"/>
      <c r="T72" s="112"/>
      <c r="U72" s="108"/>
      <c r="V72" s="108"/>
      <c r="W72" s="111"/>
      <c r="X72" s="52"/>
    </row>
    <row r="73" spans="1:24" x14ac:dyDescent="0.2">
      <c r="A73" s="113"/>
      <c r="B73" s="113"/>
      <c r="C73" s="113"/>
      <c r="D73" s="114" t="s">
        <v>278</v>
      </c>
      <c r="E73" s="115" t="s">
        <v>279</v>
      </c>
      <c r="F73" s="116">
        <v>250</v>
      </c>
      <c r="G73" s="117">
        <v>7.33</v>
      </c>
      <c r="H73" s="117">
        <f>ROUND(IF($I$1="YES",(G73*(1+$I$2)),(G72*(1+$I$2))),2)</f>
        <v>7.33</v>
      </c>
      <c r="I73" s="129">
        <f t="shared" si="10"/>
        <v>1833</v>
      </c>
      <c r="J73" s="119">
        <f>SUM(I72:I73)</f>
        <v>1833</v>
      </c>
      <c r="K73" s="120" t="s">
        <v>101</v>
      </c>
      <c r="L73" s="118">
        <f>ROUND((VLOOKUP(K73,$D$2:$E$10,2,FALSE))*J73,0)</f>
        <v>0</v>
      </c>
      <c r="M73" s="119">
        <f>ROUND(IF(K73="N",0,(J73*$I$3)),0)</f>
        <v>0</v>
      </c>
      <c r="N73" s="118">
        <f>ROUND((J73*$I$4),0)</f>
        <v>140</v>
      </c>
      <c r="O73" s="118">
        <f>ROUND(J73*$I$5,0)</f>
        <v>41</v>
      </c>
      <c r="P73" s="118">
        <f>ROUND(J73*$I$6,0)</f>
        <v>16</v>
      </c>
      <c r="Q73" s="121">
        <v>0</v>
      </c>
      <c r="R73" s="122">
        <f>ROUND(IF($Q73=0,0,((VLOOKUP($Q73,$K$3:$M$6,2,FALSE))*(1+$L$7))),0)</f>
        <v>0</v>
      </c>
      <c r="S73" s="122">
        <f>ROUND(IF($Q73=0,0,((VLOOKUP($Q73,$K$3:$M$6,3,FALSE))*(1+$M$7))),0)</f>
        <v>0</v>
      </c>
      <c r="T73" s="118">
        <f>SUM(R73,S73)</f>
        <v>0</v>
      </c>
      <c r="U73" s="118">
        <f>SUM(L73:P73,T73)</f>
        <v>197</v>
      </c>
      <c r="V73" s="118">
        <f>SUM(U73,J73)</f>
        <v>2030</v>
      </c>
      <c r="W73" s="111"/>
      <c r="X73" s="123"/>
    </row>
    <row r="74" spans="1:24" x14ac:dyDescent="0.2">
      <c r="A74" s="40" t="s">
        <v>653</v>
      </c>
      <c r="B74" s="100" t="s">
        <v>276</v>
      </c>
      <c r="C74" s="100" t="s">
        <v>644</v>
      </c>
      <c r="D74" s="124"/>
      <c r="E74" s="125" t="s">
        <v>279</v>
      </c>
      <c r="F74" s="103">
        <v>0</v>
      </c>
      <c r="G74" s="104">
        <v>7.33</v>
      </c>
      <c r="H74" s="104">
        <f>ROUND((G74*(1+$I$2)),2)</f>
        <v>7.33</v>
      </c>
      <c r="I74" s="126">
        <f t="shared" si="8"/>
        <v>0</v>
      </c>
      <c r="J74" s="106"/>
      <c r="K74" s="127"/>
      <c r="L74" s="108"/>
      <c r="M74" s="109"/>
      <c r="N74" s="108"/>
      <c r="O74" s="108"/>
      <c r="P74" s="108"/>
      <c r="Q74" s="128"/>
      <c r="R74" s="111"/>
      <c r="S74" s="111"/>
      <c r="T74" s="112"/>
      <c r="U74" s="108"/>
      <c r="V74" s="108"/>
      <c r="W74" s="111"/>
      <c r="X74" s="52"/>
    </row>
    <row r="75" spans="1:24" x14ac:dyDescent="0.2">
      <c r="A75" s="113"/>
      <c r="B75" s="113"/>
      <c r="C75" s="113"/>
      <c r="D75" s="114" t="s">
        <v>278</v>
      </c>
      <c r="E75" s="115" t="s">
        <v>279</v>
      </c>
      <c r="F75" s="116">
        <v>250</v>
      </c>
      <c r="G75" s="117">
        <v>7.33</v>
      </c>
      <c r="H75" s="117">
        <f>ROUND(IF($I$1="YES",(G75*(1+$I$2)),(G74*(1+$I$2))),2)</f>
        <v>7.33</v>
      </c>
      <c r="I75" s="129">
        <f t="shared" si="8"/>
        <v>1833</v>
      </c>
      <c r="J75" s="119">
        <f>SUM(I74:I75)</f>
        <v>1833</v>
      </c>
      <c r="K75" s="120" t="s">
        <v>101</v>
      </c>
      <c r="L75" s="118">
        <f>ROUND((VLOOKUP(K75,$D$2:$E$10,2,FALSE))*J75,0)</f>
        <v>0</v>
      </c>
      <c r="M75" s="119">
        <f>ROUND(IF(K75="N",0,(J75*$I$3)),0)</f>
        <v>0</v>
      </c>
      <c r="N75" s="118">
        <f>ROUND((J75*$I$4),0)</f>
        <v>140</v>
      </c>
      <c r="O75" s="118">
        <f>ROUND(J75*$I$5,0)</f>
        <v>41</v>
      </c>
      <c r="P75" s="118">
        <f>ROUND(J75*$I$6,0)</f>
        <v>16</v>
      </c>
      <c r="Q75" s="121">
        <v>0</v>
      </c>
      <c r="R75" s="122">
        <f>ROUND(IF($Q75=0,0,((VLOOKUP($Q75,$K$3:$M$6,2,FALSE))*(1+$L$7))),0)</f>
        <v>0</v>
      </c>
      <c r="S75" s="122">
        <f>ROUND(IF($Q75=0,0,((VLOOKUP($Q75,$K$3:$M$6,3,FALSE))*(1+$M$7))),0)</f>
        <v>0</v>
      </c>
      <c r="T75" s="118">
        <f>SUM(R75,S75)</f>
        <v>0</v>
      </c>
      <c r="U75" s="118">
        <f>SUM(L75:P75,T75)</f>
        <v>197</v>
      </c>
      <c r="V75" s="118">
        <f>SUM(U75,J75)</f>
        <v>2030</v>
      </c>
      <c r="W75" s="111"/>
      <c r="X75" s="123"/>
    </row>
    <row r="76" spans="1:24" x14ac:dyDescent="0.2">
      <c r="A76" s="100" t="s">
        <v>654</v>
      </c>
      <c r="B76" s="100" t="s">
        <v>655</v>
      </c>
      <c r="C76" s="100" t="s">
        <v>644</v>
      </c>
      <c r="D76" s="124"/>
      <c r="E76" s="102" t="s">
        <v>279</v>
      </c>
      <c r="F76" s="103">
        <v>0</v>
      </c>
      <c r="G76" s="104">
        <v>31.58</v>
      </c>
      <c r="H76" s="104">
        <f>ROUND((G76*(1+$I$2)),2)</f>
        <v>31.58</v>
      </c>
      <c r="I76" s="126">
        <f t="shared" ref="I76:I77" si="11">ROUND((H76*F76),0)</f>
        <v>0</v>
      </c>
      <c r="J76" s="106"/>
      <c r="K76" s="127"/>
      <c r="L76" s="108"/>
      <c r="M76" s="109"/>
      <c r="N76" s="108"/>
      <c r="O76" s="108"/>
      <c r="P76" s="108"/>
      <c r="Q76" s="128"/>
      <c r="R76" s="111"/>
      <c r="S76" s="111"/>
      <c r="T76" s="112"/>
      <c r="U76" s="108"/>
      <c r="V76" s="108"/>
      <c r="W76" s="111"/>
      <c r="X76" s="52"/>
    </row>
    <row r="77" spans="1:24" x14ac:dyDescent="0.2">
      <c r="A77" s="113"/>
      <c r="B77" s="113"/>
      <c r="C77" s="113"/>
      <c r="D77" s="114" t="s">
        <v>278</v>
      </c>
      <c r="E77" s="115" t="s">
        <v>279</v>
      </c>
      <c r="F77" s="116">
        <v>1040</v>
      </c>
      <c r="G77" s="117">
        <v>31.58</v>
      </c>
      <c r="H77" s="117">
        <f>ROUND(IF($I$1="YES",(G77*(1+$I$2)),(G76*(1+$I$2))),2)</f>
        <v>31.58</v>
      </c>
      <c r="I77" s="129">
        <f t="shared" si="11"/>
        <v>32843</v>
      </c>
      <c r="J77" s="119">
        <f>SUM(I76:I77)</f>
        <v>32843</v>
      </c>
      <c r="K77" s="120" t="s">
        <v>104</v>
      </c>
      <c r="L77" s="118">
        <f>ROUND((VLOOKUP(K77,$D$2:$E$10,2,FALSE))*J77,0)</f>
        <v>5961</v>
      </c>
      <c r="M77" s="119">
        <f>ROUND(IF(K77="N",0,(J77*$I$3)),0)</f>
        <v>197</v>
      </c>
      <c r="N77" s="118">
        <f>ROUND((J77*$I$4),0)</f>
        <v>2512</v>
      </c>
      <c r="O77" s="118">
        <f>ROUND(J77*$I$5,0)</f>
        <v>739</v>
      </c>
      <c r="P77" s="118">
        <f>ROUND(J77*$I$6,0)</f>
        <v>279</v>
      </c>
      <c r="Q77" s="121">
        <v>2</v>
      </c>
      <c r="R77" s="122">
        <f>ROUND(IF($Q77=0,0,((VLOOKUP($Q77,$K$3:$M$6,2,FALSE))*(1+$L$7))),0)</f>
        <v>9458</v>
      </c>
      <c r="S77" s="122">
        <f>ROUND(IF($Q77=0,0,((VLOOKUP($Q77,$K$3:$M$6,3,FALSE))*(1+$M$7))),0)</f>
        <v>625</v>
      </c>
      <c r="T77" s="118">
        <f>SUM(R77,S77)</f>
        <v>10083</v>
      </c>
      <c r="U77" s="118">
        <f>SUM(L77:P77,T77)</f>
        <v>19771</v>
      </c>
      <c r="V77" s="118">
        <f>SUM(U77,J77)</f>
        <v>52614</v>
      </c>
      <c r="W77" s="111"/>
      <c r="X77" s="123"/>
    </row>
    <row r="78" spans="1:24" x14ac:dyDescent="0.2">
      <c r="A78" s="100" t="s">
        <v>324</v>
      </c>
      <c r="B78" s="100" t="s">
        <v>325</v>
      </c>
      <c r="C78" s="100" t="s">
        <v>326</v>
      </c>
      <c r="D78" s="124"/>
      <c r="E78" s="102" t="s">
        <v>279</v>
      </c>
      <c r="F78" s="103">
        <v>0</v>
      </c>
      <c r="G78" s="104">
        <v>59.84</v>
      </c>
      <c r="H78" s="104">
        <f>ROUND((G78*(1+$I$2)),2)</f>
        <v>59.84</v>
      </c>
      <c r="I78" s="126">
        <f t="shared" si="8"/>
        <v>0</v>
      </c>
      <c r="J78" s="106"/>
      <c r="K78" s="127"/>
      <c r="L78" s="108"/>
      <c r="M78" s="109"/>
      <c r="N78" s="108"/>
      <c r="O78" s="108"/>
      <c r="P78" s="108"/>
      <c r="Q78" s="128"/>
      <c r="R78" s="111"/>
      <c r="S78" s="111"/>
      <c r="T78" s="112"/>
      <c r="U78" s="108"/>
      <c r="V78" s="108"/>
      <c r="W78" s="111"/>
      <c r="X78" s="52"/>
    </row>
    <row r="79" spans="1:24" x14ac:dyDescent="0.2">
      <c r="A79" s="113"/>
      <c r="B79" s="113"/>
      <c r="C79" s="113"/>
      <c r="D79" s="114" t="s">
        <v>278</v>
      </c>
      <c r="E79" s="115" t="s">
        <v>279</v>
      </c>
      <c r="F79" s="116">
        <v>2080</v>
      </c>
      <c r="G79" s="117">
        <v>60.73</v>
      </c>
      <c r="H79" s="117">
        <f>ROUND(IF($I$1="YES",(G79*(1+$I$2)),(G78*(1+$I$2))),2)</f>
        <v>59.84</v>
      </c>
      <c r="I79" s="129">
        <f t="shared" si="8"/>
        <v>124467</v>
      </c>
      <c r="J79" s="119">
        <f>SUM(I78:I79)</f>
        <v>124467</v>
      </c>
      <c r="K79" s="120" t="s">
        <v>78</v>
      </c>
      <c r="L79" s="118">
        <f>ROUND((VLOOKUP(K79,$D$2:$E$10,2,FALSE))*J79,0)</f>
        <v>24744</v>
      </c>
      <c r="M79" s="119">
        <f>ROUND(IF(K79="N",0,(J79*$I$3)),0)</f>
        <v>747</v>
      </c>
      <c r="N79" s="118">
        <f>ROUND((J79*$I$4),0)</f>
        <v>9522</v>
      </c>
      <c r="O79" s="118">
        <f>ROUND(J79*$I$5,0)</f>
        <v>2801</v>
      </c>
      <c r="P79" s="118">
        <f>ROUND(J79*$I$6,0)</f>
        <v>1058</v>
      </c>
      <c r="Q79" s="121">
        <v>1</v>
      </c>
      <c r="R79" s="122">
        <f>ROUND(IF($Q79=0,0,((VLOOKUP($Q79,$K$3:$M$6,2,FALSE))*(1+$L$7))),0)</f>
        <v>4019</v>
      </c>
      <c r="S79" s="122">
        <f>ROUND(IF($Q79=0,0,((VLOOKUP($Q79,$K$3:$M$6,3,FALSE))*(1+$M$7))),0)</f>
        <v>324</v>
      </c>
      <c r="T79" s="118">
        <f>SUM(R79,S79)</f>
        <v>4343</v>
      </c>
      <c r="U79" s="118">
        <f>SUM(L79:P79,T79)</f>
        <v>43215</v>
      </c>
      <c r="V79" s="118">
        <f>SUM(U79,J79)</f>
        <v>167682</v>
      </c>
      <c r="W79" s="111"/>
      <c r="X79" s="123"/>
    </row>
    <row r="80" spans="1:24" x14ac:dyDescent="0.2">
      <c r="A80" s="100" t="s">
        <v>327</v>
      </c>
      <c r="B80" s="100" t="s">
        <v>328</v>
      </c>
      <c r="C80" s="100" t="s">
        <v>329</v>
      </c>
      <c r="D80" s="101"/>
      <c r="E80" s="102" t="s">
        <v>724</v>
      </c>
      <c r="F80" s="103">
        <v>884</v>
      </c>
      <c r="G80" s="104">
        <v>8.02</v>
      </c>
      <c r="H80" s="104">
        <f>ROUND((G80*(1+$I$2)),2)</f>
        <v>8.02</v>
      </c>
      <c r="I80" s="126">
        <f>ROUND((H80*F80),0)</f>
        <v>7090</v>
      </c>
      <c r="J80" s="106"/>
      <c r="K80" s="127"/>
      <c r="L80" s="108"/>
      <c r="M80" s="109"/>
      <c r="N80" s="108"/>
      <c r="O80" s="108"/>
      <c r="P80" s="108"/>
      <c r="Q80" s="128"/>
      <c r="R80" s="111"/>
      <c r="S80" s="111"/>
      <c r="T80" s="112"/>
      <c r="U80" s="108"/>
      <c r="V80" s="108"/>
      <c r="W80" s="111"/>
      <c r="X80" s="52"/>
    </row>
    <row r="81" spans="1:24" x14ac:dyDescent="0.2">
      <c r="A81" s="113"/>
      <c r="B81" s="113"/>
      <c r="C81" s="113"/>
      <c r="D81" s="114">
        <v>41588</v>
      </c>
      <c r="E81" s="115" t="s">
        <v>725</v>
      </c>
      <c r="F81" s="116">
        <v>156</v>
      </c>
      <c r="G81" s="117">
        <v>8.24</v>
      </c>
      <c r="H81" s="117">
        <f>ROUND(IF($I$1="YES",(G81*(1+$I$2)),(G80*(1+$I$2))),2)</f>
        <v>8.02</v>
      </c>
      <c r="I81" s="118">
        <f>ROUND((H81*F81),0)</f>
        <v>1251</v>
      </c>
      <c r="J81" s="119">
        <f>SUM(I80:I81)</f>
        <v>8341</v>
      </c>
      <c r="K81" s="120" t="s">
        <v>104</v>
      </c>
      <c r="L81" s="118">
        <f>ROUND((VLOOKUP(K81,$D$2:$E$10,2,FALSE))*J81,0)</f>
        <v>1514</v>
      </c>
      <c r="M81" s="119">
        <f>ROUND(IF(K81="N",0,(J81*$I$3)),0)</f>
        <v>50</v>
      </c>
      <c r="N81" s="118">
        <f>ROUND((J81*$I$4),0)</f>
        <v>638</v>
      </c>
      <c r="O81" s="118">
        <f>ROUND(J81*$I$5,0)</f>
        <v>188</v>
      </c>
      <c r="P81" s="118">
        <f>ROUND(J81*$I$6,0)</f>
        <v>71</v>
      </c>
      <c r="Q81" s="121">
        <v>0</v>
      </c>
      <c r="R81" s="122">
        <f>ROUND(IF($Q81=0,0,((VLOOKUP($Q81,$K$3:$M$6,2,FALSE))*(1+$L$7))),0)</f>
        <v>0</v>
      </c>
      <c r="S81" s="122">
        <f>ROUND(IF($Q81=0,0,((VLOOKUP($Q81,$K$3:$M$6,3,FALSE))*(1+$M$7))),0)</f>
        <v>0</v>
      </c>
      <c r="T81" s="118">
        <f>SUM(R81,S81)</f>
        <v>0</v>
      </c>
      <c r="U81" s="118">
        <f>SUM(L81:P81,T81)</f>
        <v>2461</v>
      </c>
      <c r="V81" s="118">
        <f>SUM(U81,J81)</f>
        <v>10802</v>
      </c>
      <c r="W81" s="111"/>
      <c r="X81" s="123"/>
    </row>
    <row r="82" spans="1:24" x14ac:dyDescent="0.2">
      <c r="A82" s="40" t="s">
        <v>330</v>
      </c>
      <c r="B82" s="100" t="s">
        <v>328</v>
      </c>
      <c r="C82" s="100" t="s">
        <v>331</v>
      </c>
      <c r="D82" s="124"/>
      <c r="E82" s="125" t="s">
        <v>724</v>
      </c>
      <c r="F82" s="103">
        <v>60</v>
      </c>
      <c r="G82" s="104">
        <v>8.02</v>
      </c>
      <c r="H82" s="104">
        <f>ROUND((G82*(1+$I$2)),2)</f>
        <v>8.02</v>
      </c>
      <c r="I82" s="126">
        <f t="shared" ref="I82:I89" si="12">ROUND((H82*F82),0)</f>
        <v>481</v>
      </c>
      <c r="J82" s="106"/>
      <c r="K82" s="127"/>
      <c r="L82" s="108"/>
      <c r="M82" s="109"/>
      <c r="N82" s="108"/>
      <c r="O82" s="108"/>
      <c r="P82" s="108"/>
      <c r="Q82" s="128"/>
      <c r="R82" s="111"/>
      <c r="S82" s="111"/>
      <c r="T82" s="112"/>
      <c r="U82" s="108"/>
      <c r="V82" s="108"/>
      <c r="W82" s="111"/>
      <c r="X82" s="52"/>
    </row>
    <row r="83" spans="1:24" x14ac:dyDescent="0.2">
      <c r="A83" s="113"/>
      <c r="B83" s="113"/>
      <c r="C83" s="113"/>
      <c r="D83" s="114" t="s">
        <v>332</v>
      </c>
      <c r="E83" s="115" t="s">
        <v>726</v>
      </c>
      <c r="F83" s="116">
        <v>980</v>
      </c>
      <c r="G83" s="117">
        <v>8.24</v>
      </c>
      <c r="H83" s="117">
        <f>ROUND(IF($I$1="YES",(G83*(1+$I$2)),(G82*(1+$I$2))),2)</f>
        <v>8.02</v>
      </c>
      <c r="I83" s="129">
        <f t="shared" si="12"/>
        <v>7860</v>
      </c>
      <c r="J83" s="119">
        <f>SUM(I82:I83)</f>
        <v>8341</v>
      </c>
      <c r="K83" s="120" t="s">
        <v>78</v>
      </c>
      <c r="L83" s="118">
        <f>ROUND((VLOOKUP(K83,$D$2:$E$10,2,FALSE))*J83,0)</f>
        <v>1658</v>
      </c>
      <c r="M83" s="119">
        <f>ROUND(IF(K83="N",0,(J83*$I$3)),0)</f>
        <v>50</v>
      </c>
      <c r="N83" s="118">
        <f>ROUND((J83*$I$4),0)</f>
        <v>638</v>
      </c>
      <c r="O83" s="118">
        <f>ROUND(J83*$I$5,0)</f>
        <v>188</v>
      </c>
      <c r="P83" s="118">
        <f>ROUND(J83*$I$6,0)</f>
        <v>71</v>
      </c>
      <c r="Q83" s="121">
        <v>0</v>
      </c>
      <c r="R83" s="122">
        <f>ROUND(IF($Q83=0,0,((VLOOKUP($Q83,$K$3:$M$6,2,FALSE))*(1+$L$7))),0)</f>
        <v>0</v>
      </c>
      <c r="S83" s="122">
        <f>ROUND(IF($Q83=0,0,((VLOOKUP($Q83,$K$3:$M$6,3,FALSE))*(1+$M$7))),0)</f>
        <v>0</v>
      </c>
      <c r="T83" s="118">
        <f>SUM(R83,S83)</f>
        <v>0</v>
      </c>
      <c r="U83" s="118">
        <f>SUM(L83:P83,T83)</f>
        <v>2605</v>
      </c>
      <c r="V83" s="118">
        <f>SUM(U83,J83)</f>
        <v>10946</v>
      </c>
      <c r="W83" s="111"/>
      <c r="X83" s="123"/>
    </row>
    <row r="84" spans="1:24" x14ac:dyDescent="0.2">
      <c r="A84" s="40" t="s">
        <v>668</v>
      </c>
      <c r="B84" s="100" t="s">
        <v>328</v>
      </c>
      <c r="C84" s="100" t="s">
        <v>669</v>
      </c>
      <c r="D84" s="124"/>
      <c r="E84" s="125" t="s">
        <v>727</v>
      </c>
      <c r="F84" s="103">
        <v>120</v>
      </c>
      <c r="G84" s="104">
        <v>7.33</v>
      </c>
      <c r="H84" s="104">
        <f>ROUND((G84*(1+$I$2)),2)</f>
        <v>7.33</v>
      </c>
      <c r="I84" s="126">
        <f t="shared" ref="I84:I85" si="13">ROUND((H84*F84),0)</f>
        <v>880</v>
      </c>
      <c r="J84" s="106"/>
      <c r="K84" s="127"/>
      <c r="L84" s="108"/>
      <c r="M84" s="109"/>
      <c r="N84" s="108"/>
      <c r="O84" s="108"/>
      <c r="P84" s="108"/>
      <c r="Q84" s="128"/>
      <c r="R84" s="111"/>
      <c r="S84" s="111"/>
      <c r="T84" s="112"/>
      <c r="U84" s="108"/>
      <c r="V84" s="108"/>
      <c r="W84" s="111"/>
      <c r="X84" s="52"/>
    </row>
    <row r="85" spans="1:24" x14ac:dyDescent="0.2">
      <c r="A85" s="113"/>
      <c r="B85" s="113"/>
      <c r="C85" s="113"/>
      <c r="D85" s="114">
        <v>41321</v>
      </c>
      <c r="E85" s="115" t="s">
        <v>728</v>
      </c>
      <c r="F85" s="116">
        <v>920</v>
      </c>
      <c r="G85" s="117">
        <v>7.42</v>
      </c>
      <c r="H85" s="117">
        <f>ROUND(IF($I$1="YES",(G85*(1+$I$2)),(G84*(1+$I$2))),2)</f>
        <v>7.33</v>
      </c>
      <c r="I85" s="129">
        <f t="shared" si="13"/>
        <v>6744</v>
      </c>
      <c r="J85" s="119">
        <f>SUM(I84:I85)</f>
        <v>7624</v>
      </c>
      <c r="K85" s="120" t="s">
        <v>104</v>
      </c>
      <c r="L85" s="118">
        <f>ROUND((VLOOKUP(K85,$D$2:$E$10,2,FALSE))*J85,0)</f>
        <v>1384</v>
      </c>
      <c r="M85" s="119">
        <f>ROUND(IF(K85="N",0,(J85*$I$3)),0)</f>
        <v>46</v>
      </c>
      <c r="N85" s="118">
        <f>ROUND((J85*$I$4),0)</f>
        <v>583</v>
      </c>
      <c r="O85" s="118">
        <f>ROUND(J85*$I$5,0)</f>
        <v>172</v>
      </c>
      <c r="P85" s="118">
        <f>ROUND(J85*$I$6,0)</f>
        <v>65</v>
      </c>
      <c r="Q85" s="121">
        <v>0</v>
      </c>
      <c r="R85" s="122">
        <f>ROUND(IF($Q85=0,0,((VLOOKUP($Q85,$K$3:$M$6,2,FALSE))*(1+$L$7))),0)</f>
        <v>0</v>
      </c>
      <c r="S85" s="122">
        <f>ROUND(IF($Q85=0,0,((VLOOKUP($Q85,$K$3:$M$6,3,FALSE))*(1+$M$7))),0)</f>
        <v>0</v>
      </c>
      <c r="T85" s="118">
        <f>SUM(R85,S85)</f>
        <v>0</v>
      </c>
      <c r="U85" s="118">
        <f>SUM(L85:P85,T85)</f>
        <v>2250</v>
      </c>
      <c r="V85" s="118">
        <f>SUM(U85,J85)</f>
        <v>9874</v>
      </c>
      <c r="W85" s="111"/>
      <c r="X85" s="123"/>
    </row>
    <row r="86" spans="1:24" x14ac:dyDescent="0.2">
      <c r="A86" s="40" t="s">
        <v>333</v>
      </c>
      <c r="B86" s="100" t="s">
        <v>328</v>
      </c>
      <c r="C86" s="100" t="s">
        <v>334</v>
      </c>
      <c r="D86" s="124"/>
      <c r="E86" s="102" t="s">
        <v>729</v>
      </c>
      <c r="F86" s="103">
        <v>1008</v>
      </c>
      <c r="G86" s="104">
        <v>9.32</v>
      </c>
      <c r="H86" s="104">
        <f>ROUND((G86*(1+$I$2)),2)</f>
        <v>9.32</v>
      </c>
      <c r="I86" s="126">
        <f t="shared" si="12"/>
        <v>9395</v>
      </c>
      <c r="J86" s="106"/>
      <c r="K86" s="127"/>
      <c r="L86" s="108"/>
      <c r="M86" s="109"/>
      <c r="N86" s="108"/>
      <c r="O86" s="108"/>
      <c r="P86" s="108"/>
      <c r="Q86" s="128"/>
      <c r="R86" s="111"/>
      <c r="S86" s="111"/>
      <c r="T86" s="112"/>
      <c r="U86" s="108"/>
      <c r="V86" s="108"/>
      <c r="W86" s="111"/>
      <c r="X86" s="52"/>
    </row>
    <row r="87" spans="1:24" x14ac:dyDescent="0.2">
      <c r="A87" s="113"/>
      <c r="B87" s="113"/>
      <c r="C87" s="113"/>
      <c r="D87" s="114" t="s">
        <v>335</v>
      </c>
      <c r="E87" s="115" t="s">
        <v>730</v>
      </c>
      <c r="F87" s="116">
        <v>32</v>
      </c>
      <c r="G87" s="117">
        <v>9.5299999999999994</v>
      </c>
      <c r="H87" s="117">
        <f>ROUND(IF($I$1="YES",(G87*(1+$I$2)),(G86*(1+$I$2))),2)</f>
        <v>9.32</v>
      </c>
      <c r="I87" s="129">
        <f t="shared" si="12"/>
        <v>298</v>
      </c>
      <c r="J87" s="119">
        <f>SUM(I86:I87)</f>
        <v>9693</v>
      </c>
      <c r="K87" s="120" t="s">
        <v>78</v>
      </c>
      <c r="L87" s="118">
        <f>ROUND((VLOOKUP(K87,$D$2:$E$10,2,FALSE))*J87,0)</f>
        <v>1927</v>
      </c>
      <c r="M87" s="119">
        <f>ROUND(IF(K87="N",0,(J87*$I$3)),0)</f>
        <v>58</v>
      </c>
      <c r="N87" s="118">
        <f>ROUND((J87*$I$4),0)</f>
        <v>742</v>
      </c>
      <c r="O87" s="118">
        <f>ROUND(J87*$I$5,0)</f>
        <v>218</v>
      </c>
      <c r="P87" s="118">
        <f>ROUND(J87*$I$6,0)</f>
        <v>82</v>
      </c>
      <c r="Q87" s="121">
        <v>0</v>
      </c>
      <c r="R87" s="122">
        <f>ROUND(IF($Q87=0,0,((VLOOKUP($Q87,$K$3:$M$6,2,FALSE))*(1+$L$7))),0)</f>
        <v>0</v>
      </c>
      <c r="S87" s="122">
        <f>ROUND(IF($Q87=0,0,((VLOOKUP($Q87,$K$3:$M$6,3,FALSE))*(1+$M$7))),0)</f>
        <v>0</v>
      </c>
      <c r="T87" s="118">
        <f>SUM(R87,S87)</f>
        <v>0</v>
      </c>
      <c r="U87" s="118">
        <f>SUM(L87:P87,T87)</f>
        <v>3027</v>
      </c>
      <c r="V87" s="118">
        <f>SUM(U87,J87)</f>
        <v>12720</v>
      </c>
      <c r="W87" s="111"/>
      <c r="X87" s="123"/>
    </row>
    <row r="88" spans="1:24" x14ac:dyDescent="0.2">
      <c r="A88" s="100" t="s">
        <v>336</v>
      </c>
      <c r="B88" s="100" t="s">
        <v>328</v>
      </c>
      <c r="C88" s="100" t="s">
        <v>337</v>
      </c>
      <c r="D88" s="124"/>
      <c r="E88" s="102" t="s">
        <v>731</v>
      </c>
      <c r="F88" s="103">
        <v>568</v>
      </c>
      <c r="G88" s="104">
        <v>9.74</v>
      </c>
      <c r="H88" s="104">
        <f>ROUND((G88*(1+$I$2)),2)</f>
        <v>9.74</v>
      </c>
      <c r="I88" s="126">
        <f t="shared" si="12"/>
        <v>5532</v>
      </c>
      <c r="J88" s="106"/>
      <c r="K88" s="127"/>
      <c r="L88" s="108"/>
      <c r="M88" s="109"/>
      <c r="N88" s="108"/>
      <c r="O88" s="108"/>
      <c r="P88" s="108"/>
      <c r="Q88" s="128"/>
      <c r="R88" s="111"/>
      <c r="S88" s="111"/>
      <c r="T88" s="112"/>
      <c r="U88" s="108"/>
      <c r="V88" s="108"/>
      <c r="W88" s="111"/>
      <c r="X88" s="52"/>
    </row>
    <row r="89" spans="1:24" x14ac:dyDescent="0.2">
      <c r="A89" s="113"/>
      <c r="B89" s="113"/>
      <c r="C89" s="113"/>
      <c r="D89" s="114" t="s">
        <v>338</v>
      </c>
      <c r="E89" s="115" t="s">
        <v>732</v>
      </c>
      <c r="F89" s="116">
        <v>472</v>
      </c>
      <c r="G89" s="117">
        <v>9.92</v>
      </c>
      <c r="H89" s="117">
        <f>ROUND(IF($I$1="YES",(G89*(1+$I$2)),(G88*(1+$I$2))),2)</f>
        <v>9.74</v>
      </c>
      <c r="I89" s="129">
        <f t="shared" si="12"/>
        <v>4597</v>
      </c>
      <c r="J89" s="119">
        <f>SUM(I88:I89)</f>
        <v>10129</v>
      </c>
      <c r="K89" s="120" t="s">
        <v>78</v>
      </c>
      <c r="L89" s="118">
        <f>ROUND((VLOOKUP(K89,$D$2:$E$10,2,FALSE))*J89,0)</f>
        <v>2014</v>
      </c>
      <c r="M89" s="119">
        <f>ROUND(IF(K89="N",0,(J89*$I$3)),0)</f>
        <v>61</v>
      </c>
      <c r="N89" s="118">
        <f>ROUND((J89*$I$4),0)</f>
        <v>775</v>
      </c>
      <c r="O89" s="118">
        <f>ROUND(J89*$I$5,0)</f>
        <v>228</v>
      </c>
      <c r="P89" s="118">
        <f>ROUND(J89*$I$6,0)</f>
        <v>86</v>
      </c>
      <c r="Q89" s="121">
        <v>0</v>
      </c>
      <c r="R89" s="122">
        <f>ROUND(IF($Q89=0,0,((VLOOKUP($Q89,$K$3:$M$6,2,FALSE))*(1+$L$7))),0)</f>
        <v>0</v>
      </c>
      <c r="S89" s="122">
        <f>ROUND(IF($Q89=0,0,((VLOOKUP($Q89,$K$3:$M$6,3,FALSE))*(1+$M$7))),0)</f>
        <v>0</v>
      </c>
      <c r="T89" s="118">
        <f>SUM(R89,S89)</f>
        <v>0</v>
      </c>
      <c r="U89" s="118">
        <f>SUM(L89:P89,T89)</f>
        <v>3164</v>
      </c>
      <c r="V89" s="118">
        <f>SUM(U89,J89)</f>
        <v>13293</v>
      </c>
      <c r="W89" s="111"/>
      <c r="X89" s="123"/>
    </row>
    <row r="90" spans="1:24" x14ac:dyDescent="0.2">
      <c r="A90" s="100" t="s">
        <v>339</v>
      </c>
      <c r="B90" s="100" t="s">
        <v>328</v>
      </c>
      <c r="C90" s="100" t="s">
        <v>340</v>
      </c>
      <c r="D90" s="101"/>
      <c r="E90" s="102" t="s">
        <v>724</v>
      </c>
      <c r="F90" s="103">
        <v>248</v>
      </c>
      <c r="G90" s="104">
        <v>8.02</v>
      </c>
      <c r="H90" s="104">
        <f>ROUND((G90*(1+$I$2)),2)</f>
        <v>8.02</v>
      </c>
      <c r="I90" s="126">
        <f>ROUND((H90*F90),0)</f>
        <v>1989</v>
      </c>
      <c r="J90" s="106"/>
      <c r="K90" s="127"/>
      <c r="L90" s="108"/>
      <c r="M90" s="109"/>
      <c r="N90" s="108"/>
      <c r="O90" s="108"/>
      <c r="P90" s="108"/>
      <c r="Q90" s="128"/>
      <c r="R90" s="111"/>
      <c r="S90" s="111"/>
      <c r="T90" s="112"/>
      <c r="U90" s="108"/>
      <c r="V90" s="108"/>
      <c r="W90" s="111"/>
      <c r="X90" s="52"/>
    </row>
    <row r="91" spans="1:24" x14ac:dyDescent="0.2">
      <c r="A91" s="113"/>
      <c r="B91" s="113"/>
      <c r="C91" s="113"/>
      <c r="D91" s="114" t="s">
        <v>341</v>
      </c>
      <c r="E91" s="115" t="s">
        <v>726</v>
      </c>
      <c r="F91" s="116">
        <v>792</v>
      </c>
      <c r="G91" s="117">
        <v>8.24</v>
      </c>
      <c r="H91" s="117">
        <f>ROUND(IF($I$1="YES",(G91*(1+$I$2)),(G90*(1+$I$2))),2)</f>
        <v>8.02</v>
      </c>
      <c r="I91" s="118">
        <f>ROUND((H91*F91),0)</f>
        <v>6352</v>
      </c>
      <c r="J91" s="119">
        <f>SUM(I90:I91)</f>
        <v>8341</v>
      </c>
      <c r="K91" s="120" t="s">
        <v>104</v>
      </c>
      <c r="L91" s="118">
        <f>ROUND((VLOOKUP(K91,$D$2:$E$10,2,FALSE))*J91,0)</f>
        <v>1514</v>
      </c>
      <c r="M91" s="119">
        <f>ROUND(IF(K91="N",0,(J91*$I$3)),0)</f>
        <v>50</v>
      </c>
      <c r="N91" s="118">
        <f>ROUND((J91*$I$4),0)</f>
        <v>638</v>
      </c>
      <c r="O91" s="118">
        <f>ROUND(J91*$I$5,0)</f>
        <v>188</v>
      </c>
      <c r="P91" s="118">
        <f>ROUND(J91*$I$6,0)</f>
        <v>71</v>
      </c>
      <c r="Q91" s="121">
        <v>0</v>
      </c>
      <c r="R91" s="122">
        <f>ROUND(IF($Q91=0,0,((VLOOKUP($Q91,$K$3:$M$6,2,FALSE))*(1+$L$7))),0)</f>
        <v>0</v>
      </c>
      <c r="S91" s="122">
        <f>ROUND(IF($Q91=0,0,((VLOOKUP($Q91,$K$3:$M$6,3,FALSE))*(1+$M$7))),0)</f>
        <v>0</v>
      </c>
      <c r="T91" s="118">
        <f>SUM(R91,S91)</f>
        <v>0</v>
      </c>
      <c r="U91" s="118">
        <f>SUM(L91:P91,T91)</f>
        <v>2461</v>
      </c>
      <c r="V91" s="118">
        <f>SUM(U91,J91)</f>
        <v>10802</v>
      </c>
      <c r="W91" s="111"/>
      <c r="X91" s="123"/>
    </row>
    <row r="92" spans="1:24" x14ac:dyDescent="0.2">
      <c r="A92" s="40" t="s">
        <v>342</v>
      </c>
      <c r="B92" s="100" t="s">
        <v>328</v>
      </c>
      <c r="C92" s="100" t="s">
        <v>343</v>
      </c>
      <c r="D92" s="124"/>
      <c r="E92" s="125" t="s">
        <v>726</v>
      </c>
      <c r="F92" s="103">
        <v>120</v>
      </c>
      <c r="G92" s="104">
        <v>8.24</v>
      </c>
      <c r="H92" s="104">
        <f>ROUND((G92*(1+$I$2)),2)</f>
        <v>8.24</v>
      </c>
      <c r="I92" s="126">
        <f t="shared" ref="I92:I99" si="14">ROUND((H92*F92),0)</f>
        <v>989</v>
      </c>
      <c r="J92" s="106"/>
      <c r="K92" s="127"/>
      <c r="L92" s="108"/>
      <c r="M92" s="109"/>
      <c r="N92" s="108"/>
      <c r="O92" s="108"/>
      <c r="P92" s="108"/>
      <c r="Q92" s="128"/>
      <c r="R92" s="111"/>
      <c r="S92" s="111"/>
      <c r="T92" s="112"/>
      <c r="U92" s="108"/>
      <c r="V92" s="108"/>
      <c r="W92" s="111"/>
      <c r="X92" s="52"/>
    </row>
    <row r="93" spans="1:24" x14ac:dyDescent="0.2">
      <c r="A93" s="113"/>
      <c r="B93" s="113"/>
      <c r="C93" s="113"/>
      <c r="D93" s="114" t="s">
        <v>344</v>
      </c>
      <c r="E93" s="115" t="s">
        <v>733</v>
      </c>
      <c r="F93" s="116">
        <v>920</v>
      </c>
      <c r="G93" s="117">
        <v>8.43</v>
      </c>
      <c r="H93" s="117">
        <f>ROUND(IF($I$1="YES",(G93*(1+$I$2)),(G92*(1+$I$2))),2)</f>
        <v>8.24</v>
      </c>
      <c r="I93" s="129">
        <f t="shared" si="14"/>
        <v>7581</v>
      </c>
      <c r="J93" s="119">
        <f>SUM(I92:I93)</f>
        <v>8570</v>
      </c>
      <c r="K93" s="120" t="s">
        <v>78</v>
      </c>
      <c r="L93" s="118">
        <f>ROUND((VLOOKUP(K93,$D$2:$E$10,2,FALSE))*J93,0)</f>
        <v>1704</v>
      </c>
      <c r="M93" s="119">
        <f>ROUND(IF(K93="N",0,(J93*$I$3)),0)</f>
        <v>51</v>
      </c>
      <c r="N93" s="118">
        <f>ROUND((J93*$I$4),0)</f>
        <v>656</v>
      </c>
      <c r="O93" s="118">
        <f>ROUND(J93*$I$5,0)</f>
        <v>193</v>
      </c>
      <c r="P93" s="118">
        <f>ROUND(J93*$I$6,0)</f>
        <v>73</v>
      </c>
      <c r="Q93" s="121">
        <v>0</v>
      </c>
      <c r="R93" s="122">
        <f>ROUND(IF($Q93=0,0,((VLOOKUP($Q93,$K$3:$M$6,2,FALSE))*(1+$L$7))),0)</f>
        <v>0</v>
      </c>
      <c r="S93" s="122">
        <f>ROUND(IF($Q93=0,0,((VLOOKUP($Q93,$K$3:$M$6,3,FALSE))*(1+$M$7))),0)</f>
        <v>0</v>
      </c>
      <c r="T93" s="118">
        <f>SUM(R93,S93)</f>
        <v>0</v>
      </c>
      <c r="U93" s="118">
        <f>SUM(L93:P93,T93)</f>
        <v>2677</v>
      </c>
      <c r="V93" s="118">
        <f>SUM(U93,J93)</f>
        <v>11247</v>
      </c>
      <c r="W93" s="111"/>
      <c r="X93" s="123"/>
    </row>
    <row r="94" spans="1:24" x14ac:dyDescent="0.2">
      <c r="A94" s="40" t="s">
        <v>345</v>
      </c>
      <c r="B94" s="100" t="s">
        <v>328</v>
      </c>
      <c r="C94" s="100" t="s">
        <v>346</v>
      </c>
      <c r="D94" s="124"/>
      <c r="E94" s="102" t="s">
        <v>734</v>
      </c>
      <c r="F94" s="103">
        <v>160</v>
      </c>
      <c r="G94" s="104">
        <v>8.61</v>
      </c>
      <c r="H94" s="104">
        <f>ROUND((G94*(1+$I$2)),2)</f>
        <v>8.61</v>
      </c>
      <c r="I94" s="126">
        <f t="shared" si="14"/>
        <v>1378</v>
      </c>
      <c r="J94" s="106"/>
      <c r="K94" s="127"/>
      <c r="L94" s="108"/>
      <c r="M94" s="109"/>
      <c r="N94" s="108"/>
      <c r="O94" s="108"/>
      <c r="P94" s="108"/>
      <c r="Q94" s="128"/>
      <c r="R94" s="111"/>
      <c r="S94" s="111"/>
      <c r="T94" s="112"/>
      <c r="U94" s="108"/>
      <c r="V94" s="108"/>
      <c r="W94" s="111"/>
      <c r="X94" s="52"/>
    </row>
    <row r="95" spans="1:24" x14ac:dyDescent="0.2">
      <c r="A95" s="113"/>
      <c r="B95" s="113"/>
      <c r="C95" s="113"/>
      <c r="D95" s="114" t="s">
        <v>347</v>
      </c>
      <c r="E95" s="115" t="s">
        <v>735</v>
      </c>
      <c r="F95" s="116">
        <v>1034</v>
      </c>
      <c r="G95" s="117">
        <v>8.7799999999999994</v>
      </c>
      <c r="H95" s="117">
        <f>ROUND(IF($I$1="YES",(G95*(1+$I$2)),(G94*(1+$I$2))),2)</f>
        <v>8.61</v>
      </c>
      <c r="I95" s="129">
        <f t="shared" si="14"/>
        <v>8903</v>
      </c>
      <c r="J95" s="119">
        <f>SUM(I94:I95)</f>
        <v>10281</v>
      </c>
      <c r="K95" s="120" t="s">
        <v>78</v>
      </c>
      <c r="L95" s="118">
        <f>ROUND((VLOOKUP(K95,$D$2:$E$10,2,FALSE))*J95,0)</f>
        <v>2044</v>
      </c>
      <c r="M95" s="119">
        <f>ROUND(IF(K95="N",0,(J95*$I$3)),0)</f>
        <v>62</v>
      </c>
      <c r="N95" s="118">
        <f>ROUND((J95*$I$4),0)</f>
        <v>786</v>
      </c>
      <c r="O95" s="118">
        <f>ROUND(J95*$I$5,0)</f>
        <v>231</v>
      </c>
      <c r="P95" s="118">
        <f>ROUND(J95*$I$6,0)</f>
        <v>87</v>
      </c>
      <c r="Q95" s="121">
        <v>0</v>
      </c>
      <c r="R95" s="122">
        <f>ROUND(IF($Q95=0,0,((VLOOKUP($Q95,$K$3:$M$6,2,FALSE))*(1+$L$7))),0)</f>
        <v>0</v>
      </c>
      <c r="S95" s="122">
        <f>ROUND(IF($Q95=0,0,((VLOOKUP($Q95,$K$3:$M$6,3,FALSE))*(1+$M$7))),0)</f>
        <v>0</v>
      </c>
      <c r="T95" s="118">
        <f>SUM(R95,S95)</f>
        <v>0</v>
      </c>
      <c r="U95" s="118">
        <f>SUM(L95:P95,T95)</f>
        <v>3210</v>
      </c>
      <c r="V95" s="118">
        <f>SUM(U95,J95)</f>
        <v>13491</v>
      </c>
      <c r="W95" s="111"/>
      <c r="X95" s="123"/>
    </row>
    <row r="96" spans="1:24" x14ac:dyDescent="0.2">
      <c r="A96" s="40" t="s">
        <v>670</v>
      </c>
      <c r="B96" s="100" t="s">
        <v>328</v>
      </c>
      <c r="C96" s="100" t="s">
        <v>671</v>
      </c>
      <c r="D96" s="124"/>
      <c r="E96" s="102" t="s">
        <v>727</v>
      </c>
      <c r="F96" s="103">
        <v>120</v>
      </c>
      <c r="G96" s="104">
        <v>7.33</v>
      </c>
      <c r="H96" s="104">
        <f>ROUND((G96*(1+$I$2)),2)</f>
        <v>7.33</v>
      </c>
      <c r="I96" s="126">
        <f t="shared" ref="I96:I97" si="15">ROUND((H96*F96),0)</f>
        <v>880</v>
      </c>
      <c r="J96" s="106"/>
      <c r="K96" s="127"/>
      <c r="L96" s="108"/>
      <c r="M96" s="109"/>
      <c r="N96" s="108"/>
      <c r="O96" s="108"/>
      <c r="P96" s="108"/>
      <c r="Q96" s="128"/>
      <c r="R96" s="111"/>
      <c r="S96" s="111"/>
      <c r="T96" s="112"/>
      <c r="U96" s="108"/>
      <c r="V96" s="108"/>
      <c r="W96" s="111"/>
      <c r="X96" s="52"/>
    </row>
    <row r="97" spans="1:24" x14ac:dyDescent="0.2">
      <c r="A97" s="113"/>
      <c r="B97" s="113"/>
      <c r="C97" s="113"/>
      <c r="D97" s="114">
        <v>41321</v>
      </c>
      <c r="E97" s="115" t="s">
        <v>728</v>
      </c>
      <c r="F97" s="116">
        <v>920</v>
      </c>
      <c r="G97" s="117">
        <v>7.42</v>
      </c>
      <c r="H97" s="117">
        <f>ROUND(IF($I$1="YES",(G97*(1+$I$2)),(G96*(1+$I$2))),2)</f>
        <v>7.33</v>
      </c>
      <c r="I97" s="129">
        <f t="shared" si="15"/>
        <v>6744</v>
      </c>
      <c r="J97" s="119">
        <f>SUM(I96:I97)</f>
        <v>7624</v>
      </c>
      <c r="K97" s="120" t="s">
        <v>104</v>
      </c>
      <c r="L97" s="118">
        <f>ROUND((VLOOKUP(K97,$D$2:$E$10,2,FALSE))*J97,0)</f>
        <v>1384</v>
      </c>
      <c r="M97" s="119">
        <f>ROUND(IF(K97="N",0,(J97*$I$3)),0)</f>
        <v>46</v>
      </c>
      <c r="N97" s="118">
        <f>ROUND((J97*$I$4),0)</f>
        <v>583</v>
      </c>
      <c r="O97" s="118">
        <f>ROUND(J97*$I$5,0)</f>
        <v>172</v>
      </c>
      <c r="P97" s="118">
        <f>ROUND(J97*$I$6,0)</f>
        <v>65</v>
      </c>
      <c r="Q97" s="121">
        <v>0</v>
      </c>
      <c r="R97" s="122">
        <f>ROUND(IF($Q97=0,0,((VLOOKUP($Q97,$K$3:$M$6,2,FALSE))*(1+$L$7))),0)</f>
        <v>0</v>
      </c>
      <c r="S97" s="122">
        <f>ROUND(IF($Q97=0,0,((VLOOKUP($Q97,$K$3:$M$6,3,FALSE))*(1+$M$7))),0)</f>
        <v>0</v>
      </c>
      <c r="T97" s="118">
        <f>SUM(R97,S97)</f>
        <v>0</v>
      </c>
      <c r="U97" s="118">
        <f>SUM(L97:P97,T97)</f>
        <v>2250</v>
      </c>
      <c r="V97" s="118">
        <f>SUM(U97,J97)</f>
        <v>9874</v>
      </c>
      <c r="W97" s="111"/>
      <c r="X97" s="123"/>
    </row>
    <row r="98" spans="1:24" x14ac:dyDescent="0.2">
      <c r="A98" s="100" t="s">
        <v>348</v>
      </c>
      <c r="B98" s="100" t="s">
        <v>328</v>
      </c>
      <c r="C98" s="100" t="s">
        <v>644</v>
      </c>
      <c r="D98" s="124"/>
      <c r="E98" s="102" t="s">
        <v>727</v>
      </c>
      <c r="F98" s="103">
        <v>120</v>
      </c>
      <c r="G98" s="104">
        <v>7.33</v>
      </c>
      <c r="H98" s="104">
        <f>ROUND((G98*(1+$I$2)),2)</f>
        <v>7.33</v>
      </c>
      <c r="I98" s="126">
        <f t="shared" si="14"/>
        <v>880</v>
      </c>
      <c r="J98" s="106"/>
      <c r="K98" s="127"/>
      <c r="L98" s="108"/>
      <c r="M98" s="109"/>
      <c r="N98" s="108"/>
      <c r="O98" s="108"/>
      <c r="P98" s="108"/>
      <c r="Q98" s="128"/>
      <c r="R98" s="111"/>
      <c r="S98" s="111"/>
      <c r="T98" s="112"/>
      <c r="U98" s="108"/>
      <c r="V98" s="108"/>
      <c r="W98" s="111"/>
      <c r="X98" s="52"/>
    </row>
    <row r="99" spans="1:24" x14ac:dyDescent="0.2">
      <c r="A99" s="113"/>
      <c r="B99" s="113"/>
      <c r="C99" s="113"/>
      <c r="D99" s="114">
        <v>41321</v>
      </c>
      <c r="E99" s="115" t="s">
        <v>728</v>
      </c>
      <c r="F99" s="116">
        <v>920</v>
      </c>
      <c r="G99" s="117">
        <v>7.42</v>
      </c>
      <c r="H99" s="117">
        <f>ROUND(IF($I$1="YES",(G99*(1+$I$2)),(G98*(1+$I$2))),2)</f>
        <v>7.33</v>
      </c>
      <c r="I99" s="129">
        <f t="shared" si="14"/>
        <v>6744</v>
      </c>
      <c r="J99" s="119">
        <f>SUM(I98:I99)</f>
        <v>7624</v>
      </c>
      <c r="K99" s="120" t="s">
        <v>104</v>
      </c>
      <c r="L99" s="118">
        <f>ROUND((VLOOKUP(K99,$D$2:$E$10,2,FALSE))*J99,0)</f>
        <v>1384</v>
      </c>
      <c r="M99" s="119">
        <f>ROUND(IF(K99="N",0,(J99*$I$3)),0)</f>
        <v>46</v>
      </c>
      <c r="N99" s="118">
        <f>ROUND((J99*$I$4),0)</f>
        <v>583</v>
      </c>
      <c r="O99" s="118">
        <f>ROUND(J99*$I$5,0)</f>
        <v>172</v>
      </c>
      <c r="P99" s="118">
        <f>ROUND(J99*$I$6,0)</f>
        <v>65</v>
      </c>
      <c r="Q99" s="121">
        <v>0</v>
      </c>
      <c r="R99" s="122">
        <f>ROUND(IF($Q99=0,0,((VLOOKUP($Q99,$K$3:$M$6,2,FALSE))*(1+$L$7))),0)</f>
        <v>0</v>
      </c>
      <c r="S99" s="122">
        <f>ROUND(IF($Q99=0,0,((VLOOKUP($Q99,$K$3:$M$6,3,FALSE))*(1+$M$7))),0)</f>
        <v>0</v>
      </c>
      <c r="T99" s="118">
        <f>SUM(R99,S99)</f>
        <v>0</v>
      </c>
      <c r="U99" s="118">
        <f>SUM(L99:P99,T99)</f>
        <v>2250</v>
      </c>
      <c r="V99" s="118">
        <f>SUM(U99,J99)</f>
        <v>9874</v>
      </c>
      <c r="W99" s="111"/>
      <c r="X99" s="123"/>
    </row>
    <row r="100" spans="1:24" x14ac:dyDescent="0.2">
      <c r="A100" s="40" t="s">
        <v>350</v>
      </c>
      <c r="B100" s="100" t="s">
        <v>328</v>
      </c>
      <c r="C100" s="100" t="s">
        <v>351</v>
      </c>
      <c r="D100" s="124"/>
      <c r="E100" s="125" t="s">
        <v>724</v>
      </c>
      <c r="F100" s="103">
        <v>80</v>
      </c>
      <c r="G100" s="104">
        <v>8.02</v>
      </c>
      <c r="H100" s="104">
        <f>ROUND((G100*(1+$I$2)),2)</f>
        <v>8.02</v>
      </c>
      <c r="I100" s="126">
        <f t="shared" ref="I100:I107" si="16">ROUND((H100*F100),0)</f>
        <v>642</v>
      </c>
      <c r="J100" s="106"/>
      <c r="K100" s="127"/>
      <c r="L100" s="108"/>
      <c r="M100" s="109"/>
      <c r="N100" s="108"/>
      <c r="O100" s="108"/>
      <c r="P100" s="108"/>
      <c r="Q100" s="128"/>
      <c r="R100" s="111"/>
      <c r="S100" s="111"/>
      <c r="T100" s="112"/>
      <c r="U100" s="108"/>
      <c r="V100" s="108"/>
      <c r="W100" s="111"/>
      <c r="X100" s="52"/>
    </row>
    <row r="101" spans="1:24" x14ac:dyDescent="0.2">
      <c r="A101" s="113"/>
      <c r="B101" s="113"/>
      <c r="C101" s="113"/>
      <c r="D101" s="114" t="s">
        <v>352</v>
      </c>
      <c r="E101" s="115" t="s">
        <v>726</v>
      </c>
      <c r="F101" s="116">
        <v>960</v>
      </c>
      <c r="G101" s="117">
        <v>8.24</v>
      </c>
      <c r="H101" s="117">
        <f>ROUND(IF($I$1="YES",(G101*(1+$I$2)),(G100*(1+$I$2))),2)</f>
        <v>8.02</v>
      </c>
      <c r="I101" s="129">
        <f t="shared" si="16"/>
        <v>7699</v>
      </c>
      <c r="J101" s="119">
        <f>SUM(I100:I101)</f>
        <v>8341</v>
      </c>
      <c r="K101" s="120" t="s">
        <v>78</v>
      </c>
      <c r="L101" s="118">
        <f>ROUND((VLOOKUP(K101,$D$2:$E$10,2,FALSE))*J101,0)</f>
        <v>1658</v>
      </c>
      <c r="M101" s="119">
        <f>ROUND(IF(K101="N",0,(J101*$I$3)),0)</f>
        <v>50</v>
      </c>
      <c r="N101" s="118">
        <f>ROUND((J101*$I$4),0)</f>
        <v>638</v>
      </c>
      <c r="O101" s="118">
        <f>ROUND(J101*$I$5,0)</f>
        <v>188</v>
      </c>
      <c r="P101" s="118">
        <f>ROUND(J101*$I$6,0)</f>
        <v>71</v>
      </c>
      <c r="Q101" s="121">
        <v>0</v>
      </c>
      <c r="R101" s="122">
        <f>ROUND(IF($Q101=0,0,((VLOOKUP($Q101,$K$3:$M$6,2,FALSE))*(1+$L$7))),0)</f>
        <v>0</v>
      </c>
      <c r="S101" s="122">
        <f>ROUND(IF($Q101=0,0,((VLOOKUP($Q101,$K$3:$M$6,3,FALSE))*(1+$M$7))),0)</f>
        <v>0</v>
      </c>
      <c r="T101" s="118">
        <f>SUM(R101,S101)</f>
        <v>0</v>
      </c>
      <c r="U101" s="118">
        <f>SUM(L101:P101,T101)</f>
        <v>2605</v>
      </c>
      <c r="V101" s="118">
        <f>SUM(U101,J101)</f>
        <v>10946</v>
      </c>
      <c r="W101" s="111"/>
      <c r="X101" s="123"/>
    </row>
    <row r="102" spans="1:24" x14ac:dyDescent="0.2">
      <c r="A102" s="40" t="s">
        <v>672</v>
      </c>
      <c r="B102" s="100" t="s">
        <v>328</v>
      </c>
      <c r="C102" s="100" t="s">
        <v>673</v>
      </c>
      <c r="D102" s="124"/>
      <c r="E102" s="125" t="s">
        <v>727</v>
      </c>
      <c r="F102" s="103">
        <v>120</v>
      </c>
      <c r="G102" s="104">
        <v>7.33</v>
      </c>
      <c r="H102" s="104">
        <f>ROUND((G102*(1+$I$2)),2)</f>
        <v>7.33</v>
      </c>
      <c r="I102" s="126">
        <f t="shared" ref="I102:I103" si="17">ROUND((H102*F102),0)</f>
        <v>880</v>
      </c>
      <c r="J102" s="106"/>
      <c r="K102" s="127"/>
      <c r="L102" s="108"/>
      <c r="M102" s="109"/>
      <c r="N102" s="108"/>
      <c r="O102" s="108"/>
      <c r="P102" s="108"/>
      <c r="Q102" s="128"/>
      <c r="R102" s="111"/>
      <c r="S102" s="111"/>
      <c r="T102" s="112"/>
      <c r="U102" s="108"/>
      <c r="V102" s="108"/>
      <c r="W102" s="111"/>
      <c r="X102" s="52"/>
    </row>
    <row r="103" spans="1:24" x14ac:dyDescent="0.2">
      <c r="A103" s="113"/>
      <c r="B103" s="113"/>
      <c r="C103" s="113"/>
      <c r="D103" s="114">
        <v>41321</v>
      </c>
      <c r="E103" s="115" t="s">
        <v>728</v>
      </c>
      <c r="F103" s="116">
        <v>920</v>
      </c>
      <c r="G103" s="117">
        <v>7.42</v>
      </c>
      <c r="H103" s="117">
        <f>ROUND(IF($I$1="YES",(G103*(1+$I$2)),(G102*(1+$I$2))),2)</f>
        <v>7.33</v>
      </c>
      <c r="I103" s="129">
        <f t="shared" si="17"/>
        <v>6744</v>
      </c>
      <c r="J103" s="119">
        <f>SUM(I102:I103)</f>
        <v>7624</v>
      </c>
      <c r="K103" s="120" t="s">
        <v>104</v>
      </c>
      <c r="L103" s="118">
        <f>ROUND((VLOOKUP(K103,$D$2:$E$10,2,FALSE))*J103,0)</f>
        <v>1384</v>
      </c>
      <c r="M103" s="119">
        <f>ROUND(IF(K103="N",0,(J103*$I$3)),0)</f>
        <v>46</v>
      </c>
      <c r="N103" s="118">
        <f>ROUND((J103*$I$4),0)</f>
        <v>583</v>
      </c>
      <c r="O103" s="118">
        <f>ROUND(J103*$I$5,0)</f>
        <v>172</v>
      </c>
      <c r="P103" s="118">
        <f>ROUND(J103*$I$6,0)</f>
        <v>65</v>
      </c>
      <c r="Q103" s="121">
        <v>0</v>
      </c>
      <c r="R103" s="122">
        <f>ROUND(IF($Q103=0,0,((VLOOKUP($Q103,$K$3:$M$6,2,FALSE))*(1+$L$7))),0)</f>
        <v>0</v>
      </c>
      <c r="S103" s="122">
        <f>ROUND(IF($Q103=0,0,((VLOOKUP($Q103,$K$3:$M$6,3,FALSE))*(1+$M$7))),0)</f>
        <v>0</v>
      </c>
      <c r="T103" s="118">
        <f>SUM(R103,S103)</f>
        <v>0</v>
      </c>
      <c r="U103" s="118">
        <f>SUM(L103:P103,T103)</f>
        <v>2250</v>
      </c>
      <c r="V103" s="118">
        <f>SUM(U103,J103)</f>
        <v>9874</v>
      </c>
      <c r="W103" s="111"/>
      <c r="X103" s="123"/>
    </row>
    <row r="104" spans="1:24" x14ac:dyDescent="0.2">
      <c r="A104" s="40" t="s">
        <v>353</v>
      </c>
      <c r="B104" s="100" t="s">
        <v>328</v>
      </c>
      <c r="C104" s="100" t="s">
        <v>656</v>
      </c>
      <c r="D104" s="124"/>
      <c r="E104" s="102" t="s">
        <v>727</v>
      </c>
      <c r="F104" s="103">
        <v>120</v>
      </c>
      <c r="G104" s="104">
        <v>7.33</v>
      </c>
      <c r="H104" s="104">
        <f>ROUND((G104*(1+$I$2)),2)</f>
        <v>7.33</v>
      </c>
      <c r="I104" s="126">
        <f t="shared" si="16"/>
        <v>880</v>
      </c>
      <c r="J104" s="106"/>
      <c r="K104" s="127"/>
      <c r="L104" s="108"/>
      <c r="M104" s="109"/>
      <c r="N104" s="108"/>
      <c r="O104" s="108"/>
      <c r="P104" s="108"/>
      <c r="Q104" s="128"/>
      <c r="R104" s="111"/>
      <c r="S104" s="111"/>
      <c r="T104" s="112"/>
      <c r="U104" s="108"/>
      <c r="V104" s="108"/>
      <c r="W104" s="111"/>
      <c r="X104" s="52"/>
    </row>
    <row r="105" spans="1:24" x14ac:dyDescent="0.2">
      <c r="A105" s="113"/>
      <c r="B105" s="113"/>
      <c r="C105" s="113"/>
      <c r="D105" s="114">
        <v>41321</v>
      </c>
      <c r="E105" s="115" t="s">
        <v>728</v>
      </c>
      <c r="F105" s="116">
        <v>920</v>
      </c>
      <c r="G105" s="117">
        <v>7.42</v>
      </c>
      <c r="H105" s="117">
        <f>ROUND(IF($I$1="YES",(G105*(1+$I$2)),(G104*(1+$I$2))),2)</f>
        <v>7.33</v>
      </c>
      <c r="I105" s="129">
        <f t="shared" si="16"/>
        <v>6744</v>
      </c>
      <c r="J105" s="119">
        <f>SUM(I104:I105)</f>
        <v>7624</v>
      </c>
      <c r="K105" s="120" t="s">
        <v>104</v>
      </c>
      <c r="L105" s="118">
        <f>ROUND((VLOOKUP(K105,$D$2:$E$10,2,FALSE))*J105,0)</f>
        <v>1384</v>
      </c>
      <c r="M105" s="119">
        <f>ROUND(IF(K105="N",0,(J105*$I$3)),0)</f>
        <v>46</v>
      </c>
      <c r="N105" s="118">
        <f>ROUND((J105*$I$4),0)</f>
        <v>583</v>
      </c>
      <c r="O105" s="118">
        <f>ROUND(J105*$I$5,0)</f>
        <v>172</v>
      </c>
      <c r="P105" s="118">
        <f>ROUND(J105*$I$6,0)</f>
        <v>65</v>
      </c>
      <c r="Q105" s="121">
        <v>0</v>
      </c>
      <c r="R105" s="122">
        <f>ROUND(IF($Q105=0,0,((VLOOKUP($Q105,$K$3:$M$6,2,FALSE))*(1+$L$7))),0)</f>
        <v>0</v>
      </c>
      <c r="S105" s="122">
        <f>ROUND(IF($Q105=0,0,((VLOOKUP($Q105,$K$3:$M$6,3,FALSE))*(1+$M$7))),0)</f>
        <v>0</v>
      </c>
      <c r="T105" s="118">
        <f>SUM(R105,S105)</f>
        <v>0</v>
      </c>
      <c r="U105" s="118">
        <f>SUM(L105:P105,T105)</f>
        <v>2250</v>
      </c>
      <c r="V105" s="118">
        <f>SUM(U105,J105)</f>
        <v>9874</v>
      </c>
      <c r="W105" s="111"/>
      <c r="X105" s="123"/>
    </row>
    <row r="106" spans="1:24" x14ac:dyDescent="0.2">
      <c r="A106" s="100" t="s">
        <v>354</v>
      </c>
      <c r="B106" s="100" t="s">
        <v>328</v>
      </c>
      <c r="C106" s="100" t="s">
        <v>355</v>
      </c>
      <c r="D106" s="124"/>
      <c r="E106" s="102" t="s">
        <v>726</v>
      </c>
      <c r="F106" s="103">
        <v>80</v>
      </c>
      <c r="G106" s="104">
        <v>8.24</v>
      </c>
      <c r="H106" s="104">
        <f>ROUND((G106*(1+$I$2)),2)</f>
        <v>8.24</v>
      </c>
      <c r="I106" s="126">
        <f t="shared" si="16"/>
        <v>659</v>
      </c>
      <c r="J106" s="106"/>
      <c r="K106" s="127"/>
      <c r="L106" s="108"/>
      <c r="M106" s="109"/>
      <c r="N106" s="108"/>
      <c r="O106" s="108"/>
      <c r="P106" s="108"/>
      <c r="Q106" s="128"/>
      <c r="R106" s="111"/>
      <c r="S106" s="111"/>
      <c r="T106" s="112"/>
      <c r="U106" s="108"/>
      <c r="V106" s="108"/>
      <c r="W106" s="111"/>
      <c r="X106" s="52"/>
    </row>
    <row r="107" spans="1:24" x14ac:dyDescent="0.2">
      <c r="A107" s="113"/>
      <c r="B107" s="113"/>
      <c r="C107" s="113"/>
      <c r="D107" s="114" t="s">
        <v>352</v>
      </c>
      <c r="E107" s="115" t="s">
        <v>733</v>
      </c>
      <c r="F107" s="116">
        <v>960</v>
      </c>
      <c r="G107" s="117">
        <v>8.43</v>
      </c>
      <c r="H107" s="117">
        <f>ROUND(IF($I$1="YES",(G107*(1+$I$2)),(G106*(1+$I$2))),2)</f>
        <v>8.24</v>
      </c>
      <c r="I107" s="129">
        <f t="shared" si="16"/>
        <v>7910</v>
      </c>
      <c r="J107" s="119">
        <f>SUM(I106:I107)</f>
        <v>8569</v>
      </c>
      <c r="K107" s="120" t="s">
        <v>78</v>
      </c>
      <c r="L107" s="118">
        <f>ROUND((VLOOKUP(K107,$D$2:$E$10,2,FALSE))*J107,0)</f>
        <v>1704</v>
      </c>
      <c r="M107" s="119">
        <f>ROUND(IF(K107="N",0,(J107*$I$3)),0)</f>
        <v>51</v>
      </c>
      <c r="N107" s="118">
        <f>ROUND((J107*$I$4),0)</f>
        <v>656</v>
      </c>
      <c r="O107" s="118">
        <f>ROUND(J107*$I$5,0)</f>
        <v>193</v>
      </c>
      <c r="P107" s="118">
        <f>ROUND(J107*$I$6,0)</f>
        <v>73</v>
      </c>
      <c r="Q107" s="121">
        <v>0</v>
      </c>
      <c r="R107" s="122">
        <f>ROUND(IF($Q107=0,0,((VLOOKUP($Q107,$K$3:$M$6,2,FALSE))*(1+$L$7))),0)</f>
        <v>0</v>
      </c>
      <c r="S107" s="122">
        <f>ROUND(IF($Q107=0,0,((VLOOKUP($Q107,$K$3:$M$6,3,FALSE))*(1+$M$7))),0)</f>
        <v>0</v>
      </c>
      <c r="T107" s="118">
        <f>SUM(R107,S107)</f>
        <v>0</v>
      </c>
      <c r="U107" s="118">
        <f>SUM(L107:P107,T107)</f>
        <v>2677</v>
      </c>
      <c r="V107" s="118">
        <f>SUM(U107,J107)</f>
        <v>11246</v>
      </c>
      <c r="W107" s="111"/>
      <c r="X107" s="123"/>
    </row>
    <row r="108" spans="1:24" x14ac:dyDescent="0.2">
      <c r="A108" s="100" t="s">
        <v>356</v>
      </c>
      <c r="B108" s="100" t="s">
        <v>328</v>
      </c>
      <c r="C108" s="100" t="s">
        <v>357</v>
      </c>
      <c r="D108" s="101"/>
      <c r="E108" s="102" t="s">
        <v>728</v>
      </c>
      <c r="F108" s="103">
        <v>920</v>
      </c>
      <c r="G108" s="104">
        <v>7.42</v>
      </c>
      <c r="H108" s="104">
        <f>ROUND((G108*(1+$I$2)),2)</f>
        <v>7.42</v>
      </c>
      <c r="I108" s="126">
        <f>ROUND((H108*F108),0)</f>
        <v>6826</v>
      </c>
      <c r="J108" s="106"/>
      <c r="K108" s="127"/>
      <c r="L108" s="108"/>
      <c r="M108" s="109"/>
      <c r="N108" s="108"/>
      <c r="O108" s="108"/>
      <c r="P108" s="108"/>
      <c r="Q108" s="128"/>
      <c r="R108" s="111"/>
      <c r="S108" s="111"/>
      <c r="T108" s="112"/>
      <c r="U108" s="108"/>
      <c r="V108" s="108"/>
      <c r="W108" s="111"/>
      <c r="X108" s="52"/>
    </row>
    <row r="109" spans="1:24" x14ac:dyDescent="0.2">
      <c r="A109" s="113"/>
      <c r="B109" s="113"/>
      <c r="C109" s="113"/>
      <c r="D109" s="114">
        <v>41602</v>
      </c>
      <c r="E109" s="115" t="s">
        <v>736</v>
      </c>
      <c r="F109" s="116">
        <v>120</v>
      </c>
      <c r="G109" s="117">
        <v>7.55</v>
      </c>
      <c r="H109" s="117">
        <f>ROUND(IF($I$1="YES",(G109*(1+$I$2)),(G108*(1+$I$2))),2)</f>
        <v>7.42</v>
      </c>
      <c r="I109" s="118">
        <f>ROUND((H109*F109),0)</f>
        <v>890</v>
      </c>
      <c r="J109" s="119">
        <f>SUM(I108:I109)</f>
        <v>7716</v>
      </c>
      <c r="K109" s="120" t="s">
        <v>104</v>
      </c>
      <c r="L109" s="118">
        <f>ROUND((VLOOKUP(K109,$D$2:$E$10,2,FALSE))*J109,0)</f>
        <v>1400</v>
      </c>
      <c r="M109" s="119">
        <f>ROUND(IF(K109="N",0,(J109*$I$3)),0)</f>
        <v>46</v>
      </c>
      <c r="N109" s="118">
        <f>ROUND((J109*$I$4),0)</f>
        <v>590</v>
      </c>
      <c r="O109" s="118">
        <f>ROUND(J109*$I$5,0)</f>
        <v>174</v>
      </c>
      <c r="P109" s="118">
        <f>ROUND(J109*$I$6,0)</f>
        <v>66</v>
      </c>
      <c r="Q109" s="121">
        <v>0</v>
      </c>
      <c r="R109" s="122">
        <f>ROUND(IF($Q109=0,0,((VLOOKUP($Q109,$K$3:$M$6,2,FALSE))*(1+$L$7))),0)</f>
        <v>0</v>
      </c>
      <c r="S109" s="122">
        <f>ROUND(IF($Q109=0,0,((VLOOKUP($Q109,$K$3:$M$6,3,FALSE))*(1+$M$7))),0)</f>
        <v>0</v>
      </c>
      <c r="T109" s="118">
        <f>SUM(R109,S109)</f>
        <v>0</v>
      </c>
      <c r="U109" s="118">
        <f>SUM(L109:P109,T109)</f>
        <v>2276</v>
      </c>
      <c r="V109" s="118">
        <f>SUM(U109,J109)</f>
        <v>9992</v>
      </c>
      <c r="W109" s="111"/>
      <c r="X109" s="123"/>
    </row>
    <row r="110" spans="1:24" x14ac:dyDescent="0.2">
      <c r="A110" s="40" t="s">
        <v>358</v>
      </c>
      <c r="B110" s="100" t="s">
        <v>328</v>
      </c>
      <c r="C110" s="100" t="s">
        <v>359</v>
      </c>
      <c r="D110" s="124"/>
      <c r="E110" s="125" t="s">
        <v>724</v>
      </c>
      <c r="F110" s="103">
        <v>120</v>
      </c>
      <c r="G110" s="104">
        <v>8.02</v>
      </c>
      <c r="H110" s="104">
        <f>ROUND((G110*(1+$I$2)),2)</f>
        <v>8.02</v>
      </c>
      <c r="I110" s="126">
        <f t="shared" ref="I110:I115" si="18">ROUND((H110*F110),0)</f>
        <v>962</v>
      </c>
      <c r="J110" s="106"/>
      <c r="K110" s="127"/>
      <c r="L110" s="108"/>
      <c r="M110" s="109"/>
      <c r="N110" s="108"/>
      <c r="O110" s="108"/>
      <c r="P110" s="108"/>
      <c r="Q110" s="128"/>
      <c r="R110" s="111"/>
      <c r="S110" s="111"/>
      <c r="T110" s="112"/>
      <c r="U110" s="108"/>
      <c r="V110" s="108"/>
      <c r="W110" s="111"/>
      <c r="X110" s="52"/>
    </row>
    <row r="111" spans="1:24" x14ac:dyDescent="0.2">
      <c r="A111" s="113"/>
      <c r="B111" s="113"/>
      <c r="C111" s="113"/>
      <c r="D111" s="114" t="s">
        <v>360</v>
      </c>
      <c r="E111" s="115" t="s">
        <v>726</v>
      </c>
      <c r="F111" s="116">
        <v>920</v>
      </c>
      <c r="G111" s="117">
        <v>8.24</v>
      </c>
      <c r="H111" s="117">
        <f>ROUND(IF($I$1="YES",(G111*(1+$I$2)),(G110*(1+$I$2))),2)</f>
        <v>8.02</v>
      </c>
      <c r="I111" s="129">
        <f t="shared" si="18"/>
        <v>7378</v>
      </c>
      <c r="J111" s="119">
        <f>SUM(I110:I111)</f>
        <v>8340</v>
      </c>
      <c r="K111" s="120" t="s">
        <v>104</v>
      </c>
      <c r="L111" s="118">
        <f>ROUND((VLOOKUP(K111,$D$2:$E$10,2,FALSE))*J111,0)</f>
        <v>1514</v>
      </c>
      <c r="M111" s="119">
        <f>ROUND(IF(K111="N",0,(J111*$I$3)),0)</f>
        <v>50</v>
      </c>
      <c r="N111" s="118">
        <f>ROUND((J111*$I$4),0)</f>
        <v>638</v>
      </c>
      <c r="O111" s="118">
        <f>ROUND(J111*$I$5,0)</f>
        <v>188</v>
      </c>
      <c r="P111" s="118">
        <f>ROUND(J111*$I$6,0)</f>
        <v>71</v>
      </c>
      <c r="Q111" s="121">
        <v>0</v>
      </c>
      <c r="R111" s="122">
        <f>ROUND(IF($Q111=0,0,((VLOOKUP($Q111,$K$3:$M$6,2,FALSE))*(1+$L$7))),0)</f>
        <v>0</v>
      </c>
      <c r="S111" s="122">
        <f>ROUND(IF($Q111=0,0,((VLOOKUP($Q111,$K$3:$M$6,3,FALSE))*(1+$M$7))),0)</f>
        <v>0</v>
      </c>
      <c r="T111" s="118">
        <f>SUM(R111,S111)</f>
        <v>0</v>
      </c>
      <c r="U111" s="118">
        <f>SUM(L111:P111,T111)</f>
        <v>2461</v>
      </c>
      <c r="V111" s="118">
        <f>SUM(U111,J111)</f>
        <v>10801</v>
      </c>
      <c r="W111" s="111"/>
      <c r="X111" s="123"/>
    </row>
    <row r="112" spans="1:24" x14ac:dyDescent="0.2">
      <c r="A112" s="40" t="s">
        <v>675</v>
      </c>
      <c r="B112" s="100" t="s">
        <v>328</v>
      </c>
      <c r="C112" s="100" t="s">
        <v>644</v>
      </c>
      <c r="D112" s="124"/>
      <c r="E112" s="102" t="s">
        <v>727</v>
      </c>
      <c r="F112" s="103">
        <v>248</v>
      </c>
      <c r="G112" s="104">
        <v>7.33</v>
      </c>
      <c r="H112" s="104">
        <f>ROUND((G112*(1+$I$2)),2)</f>
        <v>7.33</v>
      </c>
      <c r="I112" s="126">
        <f t="shared" ref="I112:I113" si="19">ROUND((H112*F112),0)</f>
        <v>1818</v>
      </c>
      <c r="J112" s="106"/>
      <c r="K112" s="127"/>
      <c r="L112" s="108"/>
      <c r="M112" s="109"/>
      <c r="N112" s="108"/>
      <c r="O112" s="108"/>
      <c r="P112" s="108"/>
      <c r="Q112" s="128"/>
      <c r="R112" s="111"/>
      <c r="S112" s="111"/>
      <c r="T112" s="112"/>
      <c r="U112" s="108"/>
      <c r="V112" s="108"/>
      <c r="W112" s="111"/>
      <c r="X112" s="52"/>
    </row>
    <row r="113" spans="1:24" x14ac:dyDescent="0.2">
      <c r="A113" s="113"/>
      <c r="B113" s="113"/>
      <c r="C113" s="113"/>
      <c r="D113" s="114">
        <v>41361</v>
      </c>
      <c r="E113" s="115" t="s">
        <v>728</v>
      </c>
      <c r="F113" s="116">
        <v>792</v>
      </c>
      <c r="G113" s="117">
        <v>7.42</v>
      </c>
      <c r="H113" s="117">
        <f>ROUND(IF($I$1="YES",(G113*(1+$I$2)),(G112*(1+$I$2))),2)</f>
        <v>7.33</v>
      </c>
      <c r="I113" s="129">
        <f t="shared" si="19"/>
        <v>5805</v>
      </c>
      <c r="J113" s="119">
        <f>SUM(I112:I113)</f>
        <v>7623</v>
      </c>
      <c r="K113" s="120" t="s">
        <v>104</v>
      </c>
      <c r="L113" s="118">
        <f>ROUND((VLOOKUP(K113,$D$2:$E$10,2,FALSE))*J113,0)</f>
        <v>1384</v>
      </c>
      <c r="M113" s="119">
        <f>ROUND(IF(K113="N",0,(J113*$I$3)),0)</f>
        <v>46</v>
      </c>
      <c r="N113" s="118">
        <f>ROUND((J113*$I$4),0)</f>
        <v>583</v>
      </c>
      <c r="O113" s="118">
        <f>ROUND(J113*$I$5,0)</f>
        <v>172</v>
      </c>
      <c r="P113" s="118">
        <f>ROUND(J113*$I$6,0)</f>
        <v>65</v>
      </c>
      <c r="Q113" s="121">
        <v>0</v>
      </c>
      <c r="R113" s="122">
        <f>ROUND(IF($Q113=0,0,((VLOOKUP($Q113,$K$3:$M$6,2,FALSE))*(1+$L$7))),0)</f>
        <v>0</v>
      </c>
      <c r="S113" s="122">
        <f>ROUND(IF($Q113=0,0,((VLOOKUP($Q113,$K$3:$M$6,3,FALSE))*(1+$M$7))),0)</f>
        <v>0</v>
      </c>
      <c r="T113" s="118">
        <f>SUM(R113,S113)</f>
        <v>0</v>
      </c>
      <c r="U113" s="118">
        <f>SUM(L113:P113,T113)</f>
        <v>2250</v>
      </c>
      <c r="V113" s="118">
        <f>SUM(U113,J113)</f>
        <v>9873</v>
      </c>
      <c r="W113" s="111"/>
      <c r="X113" s="123"/>
    </row>
    <row r="114" spans="1:24" x14ac:dyDescent="0.2">
      <c r="A114" s="40" t="s">
        <v>361</v>
      </c>
      <c r="B114" s="100" t="s">
        <v>328</v>
      </c>
      <c r="C114" s="100" t="s">
        <v>644</v>
      </c>
      <c r="D114" s="124"/>
      <c r="E114" s="102" t="s">
        <v>727</v>
      </c>
      <c r="F114" s="103">
        <v>248</v>
      </c>
      <c r="G114" s="104">
        <v>7.33</v>
      </c>
      <c r="H114" s="104">
        <f>ROUND((G114*(1+$I$2)),2)</f>
        <v>7.33</v>
      </c>
      <c r="I114" s="126">
        <f t="shared" si="18"/>
        <v>1818</v>
      </c>
      <c r="J114" s="106"/>
      <c r="K114" s="127"/>
      <c r="L114" s="108"/>
      <c r="M114" s="109"/>
      <c r="N114" s="108"/>
      <c r="O114" s="108"/>
      <c r="P114" s="108"/>
      <c r="Q114" s="128"/>
      <c r="R114" s="111"/>
      <c r="S114" s="111"/>
      <c r="T114" s="112"/>
      <c r="U114" s="108"/>
      <c r="V114" s="108"/>
      <c r="W114" s="111"/>
      <c r="X114" s="52"/>
    </row>
    <row r="115" spans="1:24" x14ac:dyDescent="0.2">
      <c r="A115" s="113"/>
      <c r="B115" s="113"/>
      <c r="C115" s="113"/>
      <c r="D115" s="114">
        <v>41361</v>
      </c>
      <c r="E115" s="115" t="s">
        <v>728</v>
      </c>
      <c r="F115" s="116">
        <v>792</v>
      </c>
      <c r="G115" s="117">
        <v>7.42</v>
      </c>
      <c r="H115" s="117">
        <f>ROUND(IF($I$1="YES",(G115*(1+$I$2)),(G114*(1+$I$2))),2)</f>
        <v>7.33</v>
      </c>
      <c r="I115" s="129">
        <f t="shared" si="18"/>
        <v>5805</v>
      </c>
      <c r="J115" s="119">
        <f>SUM(I114:I115)</f>
        <v>7623</v>
      </c>
      <c r="K115" s="120" t="s">
        <v>104</v>
      </c>
      <c r="L115" s="118">
        <f>ROUND((VLOOKUP(K115,$D$2:$E$10,2,FALSE))*J115,0)</f>
        <v>1384</v>
      </c>
      <c r="M115" s="119">
        <f>ROUND(IF(K115="N",0,(J115*$I$3)),0)</f>
        <v>46</v>
      </c>
      <c r="N115" s="118">
        <f>ROUND((J115*$I$4),0)</f>
        <v>583</v>
      </c>
      <c r="O115" s="118">
        <f>ROUND(J115*$I$5,0)</f>
        <v>172</v>
      </c>
      <c r="P115" s="118">
        <f>ROUND(J115*$I$6,0)</f>
        <v>65</v>
      </c>
      <c r="Q115" s="121">
        <v>0</v>
      </c>
      <c r="R115" s="122">
        <f>ROUND(IF($Q115=0,0,((VLOOKUP($Q115,$K$3:$M$6,2,FALSE))*(1+$L$7))),0)</f>
        <v>0</v>
      </c>
      <c r="S115" s="122">
        <f>ROUND(IF($Q115=0,0,((VLOOKUP($Q115,$K$3:$M$6,3,FALSE))*(1+$M$7))),0)</f>
        <v>0</v>
      </c>
      <c r="T115" s="118">
        <f>SUM(R115,S115)</f>
        <v>0</v>
      </c>
      <c r="U115" s="118">
        <f>SUM(L115:P115,T115)</f>
        <v>2250</v>
      </c>
      <c r="V115" s="118">
        <f>SUM(U115,J115)</f>
        <v>9873</v>
      </c>
      <c r="W115" s="111"/>
      <c r="X115" s="123"/>
    </row>
    <row r="116" spans="1:24" x14ac:dyDescent="0.2">
      <c r="A116" s="40" t="s">
        <v>674</v>
      </c>
      <c r="B116" s="100" t="s">
        <v>328</v>
      </c>
      <c r="C116" s="100" t="s">
        <v>644</v>
      </c>
      <c r="D116" s="124"/>
      <c r="E116" s="102" t="s">
        <v>727</v>
      </c>
      <c r="F116" s="103">
        <v>248</v>
      </c>
      <c r="G116" s="104">
        <v>7.33</v>
      </c>
      <c r="H116" s="104">
        <f>ROUND((G116*(1+$I$2)),2)</f>
        <v>7.33</v>
      </c>
      <c r="I116" s="126">
        <f t="shared" ref="I116:I117" si="20">ROUND((H116*F116),0)</f>
        <v>1818</v>
      </c>
      <c r="J116" s="106"/>
      <c r="K116" s="127"/>
      <c r="L116" s="108"/>
      <c r="M116" s="109"/>
      <c r="N116" s="108"/>
      <c r="O116" s="108"/>
      <c r="P116" s="108"/>
      <c r="Q116" s="128"/>
      <c r="R116" s="111"/>
      <c r="S116" s="111"/>
      <c r="T116" s="112"/>
      <c r="U116" s="108"/>
      <c r="V116" s="108"/>
      <c r="W116" s="111"/>
      <c r="X116" s="52"/>
    </row>
    <row r="117" spans="1:24" x14ac:dyDescent="0.2">
      <c r="A117" s="113"/>
      <c r="B117" s="113"/>
      <c r="C117" s="113"/>
      <c r="D117" s="114">
        <v>41361</v>
      </c>
      <c r="E117" s="115" t="s">
        <v>728</v>
      </c>
      <c r="F117" s="116">
        <v>792</v>
      </c>
      <c r="G117" s="117">
        <v>7.42</v>
      </c>
      <c r="H117" s="117">
        <f>ROUND(IF($I$1="YES",(G117*(1+$I$2)),(G116*(1+$I$2))),2)</f>
        <v>7.33</v>
      </c>
      <c r="I117" s="129">
        <f t="shared" si="20"/>
        <v>5805</v>
      </c>
      <c r="J117" s="119">
        <f>SUM(I116:I117)</f>
        <v>7623</v>
      </c>
      <c r="K117" s="120" t="s">
        <v>104</v>
      </c>
      <c r="L117" s="118">
        <f>ROUND((VLOOKUP(K117,$D$2:$E$10,2,FALSE))*J117,0)</f>
        <v>1384</v>
      </c>
      <c r="M117" s="119">
        <f>ROUND(IF(K117="N",0,(J117*$I$3)),0)</f>
        <v>46</v>
      </c>
      <c r="N117" s="118">
        <f>ROUND((J117*$I$4),0)</f>
        <v>583</v>
      </c>
      <c r="O117" s="118">
        <f>ROUND(J117*$I$5,0)</f>
        <v>172</v>
      </c>
      <c r="P117" s="118">
        <f>ROUND(J117*$I$6,0)</f>
        <v>65</v>
      </c>
      <c r="Q117" s="121">
        <v>0</v>
      </c>
      <c r="R117" s="122">
        <f>ROUND(IF($Q117=0,0,((VLOOKUP($Q117,$K$3:$M$6,2,FALSE))*(1+$L$7))),0)</f>
        <v>0</v>
      </c>
      <c r="S117" s="122">
        <f>ROUND(IF($Q117=0,0,((VLOOKUP($Q117,$K$3:$M$6,3,FALSE))*(1+$M$7))),0)</f>
        <v>0</v>
      </c>
      <c r="T117" s="118">
        <f>SUM(R117,S117)</f>
        <v>0</v>
      </c>
      <c r="U117" s="118">
        <f>SUM(L117:P117,T117)</f>
        <v>2250</v>
      </c>
      <c r="V117" s="118">
        <f>SUM(U117,J117)</f>
        <v>9873</v>
      </c>
      <c r="W117" s="111"/>
      <c r="X117" s="123"/>
    </row>
    <row r="118" spans="1:24" x14ac:dyDescent="0.2">
      <c r="A118" s="100" t="s">
        <v>362</v>
      </c>
      <c r="B118" s="100" t="s">
        <v>363</v>
      </c>
      <c r="C118" s="100" t="s">
        <v>676</v>
      </c>
      <c r="D118" s="101"/>
      <c r="E118" s="102" t="s">
        <v>737</v>
      </c>
      <c r="F118" s="103">
        <v>320</v>
      </c>
      <c r="G118" s="104">
        <v>10.09</v>
      </c>
      <c r="H118" s="104">
        <f>ROUND((G118*(1+$I$2)),2)</f>
        <v>10.09</v>
      </c>
      <c r="I118" s="126">
        <f>ROUND((H118*F118),0)</f>
        <v>3229</v>
      </c>
      <c r="J118" s="106"/>
      <c r="K118" s="127"/>
      <c r="L118" s="108"/>
      <c r="M118" s="109"/>
      <c r="N118" s="108"/>
      <c r="O118" s="108"/>
      <c r="P118" s="108"/>
      <c r="Q118" s="128"/>
      <c r="R118" s="111"/>
      <c r="S118" s="111"/>
      <c r="T118" s="112"/>
      <c r="U118" s="108"/>
      <c r="V118" s="108"/>
      <c r="W118" s="111"/>
      <c r="X118" s="52"/>
    </row>
    <row r="119" spans="1:24" x14ac:dyDescent="0.2">
      <c r="A119" s="113"/>
      <c r="B119" s="113"/>
      <c r="C119" s="113"/>
      <c r="D119" s="114">
        <v>41336</v>
      </c>
      <c r="E119" s="115" t="s">
        <v>738</v>
      </c>
      <c r="F119" s="116">
        <v>720</v>
      </c>
      <c r="G119" s="117">
        <v>10.24</v>
      </c>
      <c r="H119" s="117">
        <f>ROUND(IF($I$1="YES",(G119*(1+$I$2)),(G118*(1+$I$2))),2)</f>
        <v>10.09</v>
      </c>
      <c r="I119" s="118">
        <f>ROUND((H119*F119),0)</f>
        <v>7265</v>
      </c>
      <c r="J119" s="119">
        <f>SUM(I118:I119)</f>
        <v>10494</v>
      </c>
      <c r="K119" s="120" t="s">
        <v>104</v>
      </c>
      <c r="L119" s="118">
        <f>ROUND((VLOOKUP(K119,$D$2:$E$10,2,FALSE))*J119,0)</f>
        <v>1905</v>
      </c>
      <c r="M119" s="119">
        <f>ROUND(IF(K119="N",0,(J119*$I$3)),0)</f>
        <v>63</v>
      </c>
      <c r="N119" s="118">
        <f>ROUND((J119*$I$4),0)</f>
        <v>803</v>
      </c>
      <c r="O119" s="118">
        <f>ROUND(J119*$I$5,0)</f>
        <v>236</v>
      </c>
      <c r="P119" s="118">
        <f>ROUND(J119*$I$6,0)</f>
        <v>89</v>
      </c>
      <c r="Q119" s="121">
        <v>0</v>
      </c>
      <c r="R119" s="122">
        <f>ROUND(IF($Q119=0,0,((VLOOKUP($Q119,$K$3:$M$6,2,FALSE))*(1+$L$7))),0)</f>
        <v>0</v>
      </c>
      <c r="S119" s="122">
        <f>ROUND(IF($Q119=0,0,((VLOOKUP($Q119,$K$3:$M$6,3,FALSE))*(1+$M$7))),0)</f>
        <v>0</v>
      </c>
      <c r="T119" s="118">
        <f>SUM(R119,S119)</f>
        <v>0</v>
      </c>
      <c r="U119" s="118">
        <f>SUM(L119:P119,T119)</f>
        <v>3096</v>
      </c>
      <c r="V119" s="118">
        <f>SUM(U119,J119)</f>
        <v>13590</v>
      </c>
      <c r="W119" s="111"/>
      <c r="X119" s="123"/>
    </row>
    <row r="120" spans="1:24" x14ac:dyDescent="0.2">
      <c r="A120" s="100" t="s">
        <v>364</v>
      </c>
      <c r="B120" s="100" t="s">
        <v>363</v>
      </c>
      <c r="C120" s="100" t="s">
        <v>365</v>
      </c>
      <c r="D120" s="101"/>
      <c r="E120" s="102" t="s">
        <v>739</v>
      </c>
      <c r="F120" s="103">
        <v>400</v>
      </c>
      <c r="G120" s="104">
        <v>14.52</v>
      </c>
      <c r="H120" s="104">
        <f>ROUND((G120*(1+$I$2)),2)</f>
        <v>14.52</v>
      </c>
      <c r="I120" s="126">
        <f>ROUND((H120*F120),0)</f>
        <v>5808</v>
      </c>
      <c r="J120" s="106"/>
      <c r="K120" s="127"/>
      <c r="L120" s="108"/>
      <c r="M120" s="109"/>
      <c r="N120" s="108"/>
      <c r="O120" s="108"/>
      <c r="P120" s="108"/>
      <c r="Q120" s="128"/>
      <c r="R120" s="111"/>
      <c r="S120" s="111"/>
      <c r="T120" s="112"/>
      <c r="U120" s="108"/>
      <c r="V120" s="108"/>
      <c r="W120" s="111"/>
      <c r="X120" s="52"/>
    </row>
    <row r="121" spans="1:24" x14ac:dyDescent="0.2">
      <c r="A121" s="113"/>
      <c r="B121" s="113"/>
      <c r="C121" s="113"/>
      <c r="D121" s="114" t="s">
        <v>366</v>
      </c>
      <c r="E121" s="115" t="s">
        <v>740</v>
      </c>
      <c r="F121" s="116">
        <v>640</v>
      </c>
      <c r="G121" s="117">
        <v>14.85</v>
      </c>
      <c r="H121" s="117">
        <f>ROUND(IF($I$1="YES",(G121*(1+$I$2)),(G120*(1+$I$2))),2)</f>
        <v>14.52</v>
      </c>
      <c r="I121" s="118">
        <f>ROUND((H121*F121),0)</f>
        <v>9293</v>
      </c>
      <c r="J121" s="119">
        <f>SUM(I120:I121)</f>
        <v>15101</v>
      </c>
      <c r="K121" s="120" t="s">
        <v>78</v>
      </c>
      <c r="L121" s="118">
        <f>ROUND((VLOOKUP(K121,$D$2:$E$10,2,FALSE))*J121,0)</f>
        <v>3002</v>
      </c>
      <c r="M121" s="119">
        <f>ROUND(IF(K121="N",0,(J121*$I$3)),0)</f>
        <v>91</v>
      </c>
      <c r="N121" s="118">
        <f>ROUND((J121*$I$4),0)</f>
        <v>1155</v>
      </c>
      <c r="O121" s="118">
        <f>ROUND(J121*$I$5,0)</f>
        <v>340</v>
      </c>
      <c r="P121" s="118">
        <f>ROUND(J121*$I$6,0)</f>
        <v>128</v>
      </c>
      <c r="Q121" s="121">
        <v>0</v>
      </c>
      <c r="R121" s="122">
        <f>ROUND(IF($Q121=0,0,((VLOOKUP($Q121,$K$3:$M$6,2,FALSE))*(1+$L$7))),0)</f>
        <v>0</v>
      </c>
      <c r="S121" s="122">
        <f>ROUND(IF($Q121=0,0,((VLOOKUP($Q121,$K$3:$M$6,3,FALSE))*(1+$M$7))),0)</f>
        <v>0</v>
      </c>
      <c r="T121" s="118">
        <f>SUM(R121,S121)</f>
        <v>0</v>
      </c>
      <c r="U121" s="118">
        <f>SUM(L121:P121,T121)</f>
        <v>4716</v>
      </c>
      <c r="V121" s="118">
        <f>SUM(U121,J121)</f>
        <v>19817</v>
      </c>
      <c r="W121" s="111"/>
      <c r="X121" s="123"/>
    </row>
    <row r="122" spans="1:24" x14ac:dyDescent="0.2">
      <c r="A122" s="40" t="s">
        <v>367</v>
      </c>
      <c r="B122" s="100" t="s">
        <v>363</v>
      </c>
      <c r="C122" s="100" t="s">
        <v>368</v>
      </c>
      <c r="D122" s="124"/>
      <c r="E122" s="125" t="s">
        <v>741</v>
      </c>
      <c r="F122" s="103">
        <v>604</v>
      </c>
      <c r="G122" s="104">
        <v>10.42</v>
      </c>
      <c r="H122" s="104">
        <f>ROUND((G122*(1+$I$2)),2)</f>
        <v>10.42</v>
      </c>
      <c r="I122" s="126">
        <f t="shared" ref="I122:I127" si="21">ROUND((H122*F122),0)</f>
        <v>6294</v>
      </c>
      <c r="J122" s="106"/>
      <c r="K122" s="127"/>
      <c r="L122" s="108"/>
      <c r="M122" s="109"/>
      <c r="N122" s="108"/>
      <c r="O122" s="108"/>
      <c r="P122" s="108"/>
      <c r="Q122" s="128"/>
      <c r="R122" s="111"/>
      <c r="S122" s="111"/>
      <c r="T122" s="112"/>
      <c r="U122" s="108"/>
      <c r="V122" s="108"/>
      <c r="W122" s="111"/>
      <c r="X122" s="52"/>
    </row>
    <row r="123" spans="1:24" x14ac:dyDescent="0.2">
      <c r="A123" s="113"/>
      <c r="B123" s="113"/>
      <c r="C123" s="113"/>
      <c r="D123" s="114" t="s">
        <v>369</v>
      </c>
      <c r="E123" s="115" t="s">
        <v>742</v>
      </c>
      <c r="F123" s="116">
        <v>436</v>
      </c>
      <c r="G123" s="117">
        <v>10.69</v>
      </c>
      <c r="H123" s="117">
        <f>ROUND(IF($I$1="YES",(G123*(1+$I$2)),(G122*(1+$I$2))),2)</f>
        <v>10.42</v>
      </c>
      <c r="I123" s="129">
        <f t="shared" si="21"/>
        <v>4543</v>
      </c>
      <c r="J123" s="119">
        <f>SUM(I122:I123)</f>
        <v>10837</v>
      </c>
      <c r="K123" s="120" t="s">
        <v>78</v>
      </c>
      <c r="L123" s="118">
        <f>ROUND((VLOOKUP(K123,$D$2:$E$10,2,FALSE))*J123,0)</f>
        <v>2154</v>
      </c>
      <c r="M123" s="119">
        <f>ROUND(IF(K123="N",0,(J123*$I$3)),0)</f>
        <v>65</v>
      </c>
      <c r="N123" s="118">
        <f>ROUND((J123*$I$4),0)</f>
        <v>829</v>
      </c>
      <c r="O123" s="118">
        <f>ROUND(J123*$I$5,0)</f>
        <v>244</v>
      </c>
      <c r="P123" s="118">
        <f>ROUND(J123*$I$6,0)</f>
        <v>92</v>
      </c>
      <c r="Q123" s="121">
        <v>0</v>
      </c>
      <c r="R123" s="122">
        <f>ROUND(IF($Q123=0,0,((VLOOKUP($Q123,$K$3:$M$6,2,FALSE))*(1+$L$7))),0)</f>
        <v>0</v>
      </c>
      <c r="S123" s="122">
        <f>ROUND(IF($Q123=0,0,((VLOOKUP($Q123,$K$3:$M$6,3,FALSE))*(1+$M$7))),0)</f>
        <v>0</v>
      </c>
      <c r="T123" s="118">
        <f>SUM(R123,S123)</f>
        <v>0</v>
      </c>
      <c r="U123" s="118">
        <f>SUM(L123:P123,T123)</f>
        <v>3384</v>
      </c>
      <c r="V123" s="118">
        <f>SUM(U123,J123)</f>
        <v>14221</v>
      </c>
      <c r="W123" s="111"/>
      <c r="X123" s="123"/>
    </row>
    <row r="124" spans="1:24" x14ac:dyDescent="0.2">
      <c r="A124" s="40" t="s">
        <v>370</v>
      </c>
      <c r="B124" s="100" t="s">
        <v>363</v>
      </c>
      <c r="C124" s="100" t="s">
        <v>371</v>
      </c>
      <c r="D124" s="124"/>
      <c r="E124" s="102" t="s">
        <v>743</v>
      </c>
      <c r="F124" s="103">
        <v>1004</v>
      </c>
      <c r="G124" s="104">
        <v>11.37</v>
      </c>
      <c r="H124" s="104">
        <f>ROUND((G124*(1+$I$2)),2)</f>
        <v>11.37</v>
      </c>
      <c r="I124" s="126">
        <f t="shared" si="21"/>
        <v>11415</v>
      </c>
      <c r="J124" s="106"/>
      <c r="K124" s="127"/>
      <c r="L124" s="108"/>
      <c r="M124" s="109"/>
      <c r="N124" s="108"/>
      <c r="O124" s="108"/>
      <c r="P124" s="108"/>
      <c r="Q124" s="128"/>
      <c r="R124" s="111"/>
      <c r="S124" s="111"/>
      <c r="T124" s="112"/>
      <c r="U124" s="108"/>
      <c r="V124" s="108"/>
      <c r="W124" s="111"/>
      <c r="X124" s="52"/>
    </row>
    <row r="125" spans="1:24" x14ac:dyDescent="0.2">
      <c r="A125" s="113"/>
      <c r="B125" s="113"/>
      <c r="C125" s="113"/>
      <c r="D125" s="114" t="s">
        <v>372</v>
      </c>
      <c r="E125" s="115" t="s">
        <v>744</v>
      </c>
      <c r="F125" s="116">
        <v>36</v>
      </c>
      <c r="G125" s="117">
        <v>11.62</v>
      </c>
      <c r="H125" s="117">
        <f>ROUND(IF($I$1="YES",(G125*(1+$I$2)),(G124*(1+$I$2))),2)</f>
        <v>11.37</v>
      </c>
      <c r="I125" s="129">
        <f t="shared" si="21"/>
        <v>409</v>
      </c>
      <c r="J125" s="119">
        <f>SUM(I124:I125)</f>
        <v>11824</v>
      </c>
      <c r="K125" s="120" t="s">
        <v>78</v>
      </c>
      <c r="L125" s="118">
        <f>ROUND((VLOOKUP(K125,$D$2:$E$10,2,FALSE))*J125,0)</f>
        <v>2351</v>
      </c>
      <c r="M125" s="119">
        <f>ROUND(IF(K125="N",0,(J125*$I$3)),0)</f>
        <v>71</v>
      </c>
      <c r="N125" s="118">
        <f>ROUND((J125*$I$4),0)</f>
        <v>905</v>
      </c>
      <c r="O125" s="118">
        <f>ROUND(J125*$I$5,0)</f>
        <v>266</v>
      </c>
      <c r="P125" s="118">
        <f>ROUND(J125*$I$6,0)</f>
        <v>101</v>
      </c>
      <c r="Q125" s="121">
        <v>0</v>
      </c>
      <c r="R125" s="122">
        <f>ROUND(IF($Q125=0,0,((VLOOKUP($Q125,$K$3:$M$6,2,FALSE))*(1+$L$7))),0)</f>
        <v>0</v>
      </c>
      <c r="S125" s="122">
        <f>ROUND(IF($Q125=0,0,((VLOOKUP($Q125,$K$3:$M$6,3,FALSE))*(1+$M$7))),0)</f>
        <v>0</v>
      </c>
      <c r="T125" s="118">
        <f>SUM(R125,S125)</f>
        <v>0</v>
      </c>
      <c r="U125" s="118">
        <f>SUM(L125:P125,T125)</f>
        <v>3694</v>
      </c>
      <c r="V125" s="118">
        <f>SUM(U125,J125)</f>
        <v>15518</v>
      </c>
      <c r="W125" s="111"/>
      <c r="X125" s="123"/>
    </row>
    <row r="126" spans="1:24" x14ac:dyDescent="0.2">
      <c r="A126" s="100" t="s">
        <v>373</v>
      </c>
      <c r="B126" s="100" t="s">
        <v>363</v>
      </c>
      <c r="C126" s="100" t="s">
        <v>374</v>
      </c>
      <c r="D126" s="124"/>
      <c r="E126" s="102" t="s">
        <v>742</v>
      </c>
      <c r="F126" s="103">
        <v>368</v>
      </c>
      <c r="G126" s="104">
        <v>10.69</v>
      </c>
      <c r="H126" s="104">
        <f>ROUND((G126*(1+$I$2)),2)</f>
        <v>10.69</v>
      </c>
      <c r="I126" s="126">
        <f t="shared" si="21"/>
        <v>3934</v>
      </c>
      <c r="J126" s="106"/>
      <c r="K126" s="127"/>
      <c r="L126" s="108"/>
      <c r="M126" s="109"/>
      <c r="N126" s="108"/>
      <c r="O126" s="108"/>
      <c r="P126" s="108"/>
      <c r="Q126" s="128"/>
      <c r="R126" s="111"/>
      <c r="S126" s="111"/>
      <c r="T126" s="112"/>
      <c r="U126" s="108"/>
      <c r="V126" s="108"/>
      <c r="W126" s="111"/>
      <c r="X126" s="52"/>
    </row>
    <row r="127" spans="1:24" x14ac:dyDescent="0.2">
      <c r="A127" s="113"/>
      <c r="B127" s="113"/>
      <c r="C127" s="113"/>
      <c r="D127" s="114" t="s">
        <v>375</v>
      </c>
      <c r="E127" s="115" t="s">
        <v>745</v>
      </c>
      <c r="F127" s="116">
        <v>672</v>
      </c>
      <c r="G127" s="117">
        <v>11.04</v>
      </c>
      <c r="H127" s="117">
        <f>ROUND(IF($I$1="YES",(G127*(1+$I$2)),(G126*(1+$I$2))),2)</f>
        <v>10.69</v>
      </c>
      <c r="I127" s="129">
        <f t="shared" si="21"/>
        <v>7184</v>
      </c>
      <c r="J127" s="119">
        <f>SUM(I126:I127)</f>
        <v>11118</v>
      </c>
      <c r="K127" s="120" t="s">
        <v>78</v>
      </c>
      <c r="L127" s="118">
        <f>ROUND((VLOOKUP(K127,$D$2:$E$10,2,FALSE))*J127,0)</f>
        <v>2210</v>
      </c>
      <c r="M127" s="119">
        <f>ROUND(IF(K127="N",0,(J127*$I$3)),0)</f>
        <v>67</v>
      </c>
      <c r="N127" s="118">
        <f>ROUND((J127*$I$4),0)</f>
        <v>851</v>
      </c>
      <c r="O127" s="118">
        <f>ROUND(J127*$I$5,0)</f>
        <v>250</v>
      </c>
      <c r="P127" s="118">
        <f>ROUND(J127*$I$6,0)</f>
        <v>95</v>
      </c>
      <c r="Q127" s="121">
        <v>0</v>
      </c>
      <c r="R127" s="122">
        <f>ROUND(IF($Q127=0,0,((VLOOKUP($Q127,$K$3:$M$6,2,FALSE))*(1+$L$7))),0)</f>
        <v>0</v>
      </c>
      <c r="S127" s="122">
        <f>ROUND(IF($Q127=0,0,((VLOOKUP($Q127,$K$3:$M$6,3,FALSE))*(1+$M$7))),0)</f>
        <v>0</v>
      </c>
      <c r="T127" s="118">
        <f>SUM(R127,S127)</f>
        <v>0</v>
      </c>
      <c r="U127" s="118">
        <f>SUM(L127:P127,T127)</f>
        <v>3473</v>
      </c>
      <c r="V127" s="118">
        <f>SUM(U127,J127)</f>
        <v>14591</v>
      </c>
      <c r="W127" s="111"/>
      <c r="X127" s="123"/>
    </row>
    <row r="128" spans="1:24" x14ac:dyDescent="0.2">
      <c r="A128" s="100" t="s">
        <v>376</v>
      </c>
      <c r="B128" s="100" t="s">
        <v>363</v>
      </c>
      <c r="C128" s="100" t="s">
        <v>377</v>
      </c>
      <c r="D128" s="101"/>
      <c r="E128" s="102" t="s">
        <v>741</v>
      </c>
      <c r="F128" s="103">
        <v>120</v>
      </c>
      <c r="G128" s="104">
        <v>10.42</v>
      </c>
      <c r="H128" s="104">
        <f>ROUND((G128*(1+$I$2)),2)</f>
        <v>10.42</v>
      </c>
      <c r="I128" s="126">
        <f>ROUND((H128*F128),0)</f>
        <v>1250</v>
      </c>
      <c r="J128" s="106"/>
      <c r="K128" s="127"/>
      <c r="L128" s="108"/>
      <c r="M128" s="109"/>
      <c r="N128" s="108"/>
      <c r="O128" s="108"/>
      <c r="P128" s="108"/>
      <c r="Q128" s="128"/>
      <c r="R128" s="111"/>
      <c r="S128" s="111"/>
      <c r="T128" s="112"/>
      <c r="U128" s="108"/>
      <c r="V128" s="108"/>
      <c r="W128" s="111"/>
      <c r="X128" s="52"/>
    </row>
    <row r="129" spans="1:24" x14ac:dyDescent="0.2">
      <c r="A129" s="113"/>
      <c r="B129" s="113"/>
      <c r="C129" s="113"/>
      <c r="D129" s="114" t="s">
        <v>360</v>
      </c>
      <c r="E129" s="115" t="s">
        <v>742</v>
      </c>
      <c r="F129" s="116">
        <v>920</v>
      </c>
      <c r="G129" s="117">
        <v>10.69</v>
      </c>
      <c r="H129" s="117">
        <f>ROUND(IF($I$1="YES",(G129*(1+$I$2)),(G128*(1+$I$2))),2)</f>
        <v>10.42</v>
      </c>
      <c r="I129" s="118">
        <f>ROUND((H129*F129),0)</f>
        <v>9586</v>
      </c>
      <c r="J129" s="119">
        <f>SUM(I128:I129)</f>
        <v>10836</v>
      </c>
      <c r="K129" s="120" t="s">
        <v>104</v>
      </c>
      <c r="L129" s="118">
        <f>ROUND((VLOOKUP(K129,$D$2:$E$10,2,FALSE))*J129,0)</f>
        <v>1967</v>
      </c>
      <c r="M129" s="119">
        <f>ROUND(IF(K129="N",0,(J129*$I$3)),0)</f>
        <v>65</v>
      </c>
      <c r="N129" s="118">
        <f>ROUND((J129*$I$4),0)</f>
        <v>829</v>
      </c>
      <c r="O129" s="118">
        <f>ROUND(J129*$I$5,0)</f>
        <v>244</v>
      </c>
      <c r="P129" s="118">
        <f>ROUND(J129*$I$6,0)</f>
        <v>92</v>
      </c>
      <c r="Q129" s="121">
        <v>0</v>
      </c>
      <c r="R129" s="122">
        <f>ROUND(IF($Q129=0,0,((VLOOKUP($Q129,$K$3:$M$6,2,FALSE))*(1+$L$7))),0)</f>
        <v>0</v>
      </c>
      <c r="S129" s="122">
        <f>ROUND(IF($Q129=0,0,((VLOOKUP($Q129,$K$3:$M$6,3,FALSE))*(1+$M$7))),0)</f>
        <v>0</v>
      </c>
      <c r="T129" s="118">
        <f>SUM(R129,S129)</f>
        <v>0</v>
      </c>
      <c r="U129" s="118">
        <f>SUM(L129:P129,T129)</f>
        <v>3197</v>
      </c>
      <c r="V129" s="118">
        <f>SUM(U129,J129)</f>
        <v>14033</v>
      </c>
      <c r="W129" s="111"/>
      <c r="X129" s="123"/>
    </row>
    <row r="130" spans="1:24" x14ac:dyDescent="0.2">
      <c r="A130" s="40" t="s">
        <v>378</v>
      </c>
      <c r="B130" s="100" t="s">
        <v>363</v>
      </c>
      <c r="C130" s="100" t="s">
        <v>379</v>
      </c>
      <c r="D130" s="124"/>
      <c r="E130" s="125" t="s">
        <v>746</v>
      </c>
      <c r="F130" s="103">
        <v>248</v>
      </c>
      <c r="G130" s="104">
        <v>10.09</v>
      </c>
      <c r="H130" s="104">
        <f>ROUND((G130*(1+$I$2)),2)</f>
        <v>10.09</v>
      </c>
      <c r="I130" s="126">
        <f t="shared" ref="I130:I135" si="22">ROUND((H130*F130),0)</f>
        <v>2502</v>
      </c>
      <c r="J130" s="106"/>
      <c r="K130" s="127"/>
      <c r="L130" s="108"/>
      <c r="M130" s="109"/>
      <c r="N130" s="108"/>
      <c r="O130" s="108"/>
      <c r="P130" s="108"/>
      <c r="Q130" s="128"/>
      <c r="R130" s="111"/>
      <c r="S130" s="111"/>
      <c r="T130" s="112"/>
      <c r="U130" s="108"/>
      <c r="V130" s="108"/>
      <c r="W130" s="111"/>
      <c r="X130" s="52"/>
    </row>
    <row r="131" spans="1:24" x14ac:dyDescent="0.2">
      <c r="A131" s="113"/>
      <c r="B131" s="113"/>
      <c r="C131" s="113"/>
      <c r="D131" s="114">
        <v>41363</v>
      </c>
      <c r="E131" s="115" t="s">
        <v>747</v>
      </c>
      <c r="F131" s="116">
        <v>792</v>
      </c>
      <c r="G131" s="117">
        <v>10.24</v>
      </c>
      <c r="H131" s="117">
        <f>ROUND(IF($I$1="YES",(G131*(1+$I$2)),(G130*(1+$I$2))),2)</f>
        <v>10.09</v>
      </c>
      <c r="I131" s="129">
        <f t="shared" si="22"/>
        <v>7991</v>
      </c>
      <c r="J131" s="119">
        <f>SUM(I130:I131)</f>
        <v>10493</v>
      </c>
      <c r="K131" s="120" t="s">
        <v>104</v>
      </c>
      <c r="L131" s="118">
        <f>ROUND((VLOOKUP(K131,$D$2:$E$10,2,FALSE))*J131,0)</f>
        <v>1904</v>
      </c>
      <c r="M131" s="119">
        <f>ROUND(IF(K131="N",0,(J131*$I$3)),0)</f>
        <v>63</v>
      </c>
      <c r="N131" s="118">
        <f>ROUND((J131*$I$4),0)</f>
        <v>803</v>
      </c>
      <c r="O131" s="118">
        <f>ROUND(J131*$I$5,0)</f>
        <v>236</v>
      </c>
      <c r="P131" s="118">
        <f>ROUND(J131*$I$6,0)</f>
        <v>89</v>
      </c>
      <c r="Q131" s="121">
        <v>0</v>
      </c>
      <c r="R131" s="122">
        <f>ROUND(IF($Q131=0,0,((VLOOKUP($Q131,$K$3:$M$6,2,FALSE))*(1+$L$7))),0)</f>
        <v>0</v>
      </c>
      <c r="S131" s="122">
        <f>ROUND(IF($Q131=0,0,((VLOOKUP($Q131,$K$3:$M$6,3,FALSE))*(1+$M$7))),0)</f>
        <v>0</v>
      </c>
      <c r="T131" s="118">
        <f>SUM(R131,S131)</f>
        <v>0</v>
      </c>
      <c r="U131" s="118">
        <f>SUM(L131:P131,T131)</f>
        <v>3095</v>
      </c>
      <c r="V131" s="118">
        <f>SUM(U131,J131)</f>
        <v>13588</v>
      </c>
      <c r="W131" s="111"/>
      <c r="X131" s="123"/>
    </row>
    <row r="132" spans="1:24" x14ac:dyDescent="0.2">
      <c r="A132" s="40" t="s">
        <v>380</v>
      </c>
      <c r="B132" s="100" t="s">
        <v>363</v>
      </c>
      <c r="C132" s="100" t="s">
        <v>381</v>
      </c>
      <c r="D132" s="124"/>
      <c r="E132" s="102" t="s">
        <v>747</v>
      </c>
      <c r="F132" s="103">
        <v>688</v>
      </c>
      <c r="G132" s="104">
        <v>10.24</v>
      </c>
      <c r="H132" s="104">
        <f>ROUND((G132*(1+$I$2)),2)</f>
        <v>10.24</v>
      </c>
      <c r="I132" s="126">
        <f t="shared" si="22"/>
        <v>7045</v>
      </c>
      <c r="J132" s="106"/>
      <c r="K132" s="127"/>
      <c r="L132" s="108"/>
      <c r="M132" s="109"/>
      <c r="N132" s="108"/>
      <c r="O132" s="108"/>
      <c r="P132" s="108"/>
      <c r="Q132" s="128"/>
      <c r="R132" s="111"/>
      <c r="S132" s="111"/>
      <c r="T132" s="112"/>
      <c r="U132" s="108"/>
      <c r="V132" s="108"/>
      <c r="W132" s="111"/>
      <c r="X132" s="52"/>
    </row>
    <row r="133" spans="1:24" x14ac:dyDescent="0.2">
      <c r="A133" s="113"/>
      <c r="B133" s="113"/>
      <c r="C133" s="113"/>
      <c r="D133" s="114">
        <v>41518</v>
      </c>
      <c r="E133" s="115" t="s">
        <v>741</v>
      </c>
      <c r="F133" s="116">
        <v>352</v>
      </c>
      <c r="G133" s="117">
        <v>10.42</v>
      </c>
      <c r="H133" s="117">
        <f>ROUND(IF($I$1="YES",(G133*(1+$I$2)),(G132*(1+$I$2))),2)</f>
        <v>10.24</v>
      </c>
      <c r="I133" s="129">
        <f t="shared" si="22"/>
        <v>3604</v>
      </c>
      <c r="J133" s="119">
        <f>SUM(I132:I133)</f>
        <v>10649</v>
      </c>
      <c r="K133" s="120" t="s">
        <v>104</v>
      </c>
      <c r="L133" s="118">
        <f>ROUND((VLOOKUP(K133,$D$2:$E$10,2,FALSE))*J133,0)</f>
        <v>1933</v>
      </c>
      <c r="M133" s="119">
        <f>ROUND(IF(K133="N",0,(J133*$I$3)),0)</f>
        <v>64</v>
      </c>
      <c r="N133" s="118">
        <f>ROUND((J133*$I$4),0)</f>
        <v>815</v>
      </c>
      <c r="O133" s="118">
        <f>ROUND(J133*$I$5,0)</f>
        <v>240</v>
      </c>
      <c r="P133" s="118">
        <f>ROUND(J133*$I$6,0)</f>
        <v>91</v>
      </c>
      <c r="Q133" s="121">
        <v>0</v>
      </c>
      <c r="R133" s="122">
        <f>ROUND(IF($Q133=0,0,((VLOOKUP($Q133,$K$3:$M$6,2,FALSE))*(1+$L$7))),0)</f>
        <v>0</v>
      </c>
      <c r="S133" s="122">
        <f>ROUND(IF($Q133=0,0,((VLOOKUP($Q133,$K$3:$M$6,3,FALSE))*(1+$M$7))),0)</f>
        <v>0</v>
      </c>
      <c r="T133" s="118">
        <f>SUM(R133,S133)</f>
        <v>0</v>
      </c>
      <c r="U133" s="118">
        <f>SUM(L133:P133,T133)</f>
        <v>3143</v>
      </c>
      <c r="V133" s="118">
        <f>SUM(U133,J133)</f>
        <v>13792</v>
      </c>
      <c r="W133" s="111"/>
      <c r="X133" s="123"/>
    </row>
    <row r="134" spans="1:24" x14ac:dyDescent="0.2">
      <c r="A134" s="100" t="s">
        <v>382</v>
      </c>
      <c r="B134" s="100" t="s">
        <v>363</v>
      </c>
      <c r="C134" s="100" t="s">
        <v>383</v>
      </c>
      <c r="D134" s="124"/>
      <c r="E134" s="102" t="s">
        <v>741</v>
      </c>
      <c r="F134" s="103">
        <v>604</v>
      </c>
      <c r="G134" s="104">
        <v>10.42</v>
      </c>
      <c r="H134" s="104">
        <f>ROUND((G134*(1+$I$2)),2)</f>
        <v>10.42</v>
      </c>
      <c r="I134" s="126">
        <f t="shared" si="22"/>
        <v>6294</v>
      </c>
      <c r="J134" s="106"/>
      <c r="K134" s="127"/>
      <c r="L134" s="108"/>
      <c r="M134" s="109"/>
      <c r="N134" s="108"/>
      <c r="O134" s="108"/>
      <c r="P134" s="108"/>
      <c r="Q134" s="128"/>
      <c r="R134" s="111"/>
      <c r="S134" s="111"/>
      <c r="T134" s="112"/>
      <c r="U134" s="108"/>
      <c r="V134" s="108"/>
      <c r="W134" s="111"/>
      <c r="X134" s="52"/>
    </row>
    <row r="135" spans="1:24" x14ac:dyDescent="0.2">
      <c r="A135" s="113"/>
      <c r="B135" s="113"/>
      <c r="C135" s="113"/>
      <c r="D135" s="114" t="s">
        <v>384</v>
      </c>
      <c r="E135" s="115" t="s">
        <v>742</v>
      </c>
      <c r="F135" s="116">
        <v>436</v>
      </c>
      <c r="G135" s="117">
        <v>10.69</v>
      </c>
      <c r="H135" s="117">
        <f>ROUND(IF($I$1="YES",(G135*(1+$I$2)),(G134*(1+$I$2))),2)</f>
        <v>10.42</v>
      </c>
      <c r="I135" s="129">
        <f t="shared" si="22"/>
        <v>4543</v>
      </c>
      <c r="J135" s="119">
        <f>SUM(I134:I135)</f>
        <v>10837</v>
      </c>
      <c r="K135" s="120" t="s">
        <v>104</v>
      </c>
      <c r="L135" s="118">
        <f>ROUND((VLOOKUP(K135,$D$2:$E$10,2,FALSE))*J135,0)</f>
        <v>1967</v>
      </c>
      <c r="M135" s="119">
        <f>ROUND(IF(K135="N",0,(J135*$I$3)),0)</f>
        <v>65</v>
      </c>
      <c r="N135" s="118">
        <f>ROUND((J135*$I$4),0)</f>
        <v>829</v>
      </c>
      <c r="O135" s="118">
        <f>ROUND(J135*$I$5,0)</f>
        <v>244</v>
      </c>
      <c r="P135" s="118">
        <f>ROUND(J135*$I$6,0)</f>
        <v>92</v>
      </c>
      <c r="Q135" s="121">
        <v>0</v>
      </c>
      <c r="R135" s="122">
        <f>ROUND(IF($Q135=0,0,((VLOOKUP($Q135,$K$3:$M$6,2,FALSE))*(1+$L$7))),0)</f>
        <v>0</v>
      </c>
      <c r="S135" s="122">
        <f>ROUND(IF($Q135=0,0,((VLOOKUP($Q135,$K$3:$M$6,3,FALSE))*(1+$M$7))),0)</f>
        <v>0</v>
      </c>
      <c r="T135" s="118">
        <f>SUM(R135,S135)</f>
        <v>0</v>
      </c>
      <c r="U135" s="118">
        <f>SUM(L135:P135,T135)</f>
        <v>3197</v>
      </c>
      <c r="V135" s="118">
        <f>SUM(U135,J135)</f>
        <v>14034</v>
      </c>
      <c r="W135" s="111"/>
      <c r="X135" s="123"/>
    </row>
    <row r="136" spans="1:24" x14ac:dyDescent="0.2">
      <c r="A136" s="100" t="s">
        <v>385</v>
      </c>
      <c r="B136" s="100" t="s">
        <v>363</v>
      </c>
      <c r="C136" s="100" t="s">
        <v>644</v>
      </c>
      <c r="D136" s="101"/>
      <c r="E136" s="102" t="s">
        <v>746</v>
      </c>
      <c r="F136" s="103">
        <v>120</v>
      </c>
      <c r="G136" s="104">
        <v>10.09</v>
      </c>
      <c r="H136" s="104">
        <f>ROUND((G136*(1+$I$2)),2)</f>
        <v>10.09</v>
      </c>
      <c r="I136" s="126">
        <f>ROUND((H136*F136),0)</f>
        <v>1211</v>
      </c>
      <c r="J136" s="106"/>
      <c r="K136" s="127"/>
      <c r="L136" s="108"/>
      <c r="M136" s="109"/>
      <c r="N136" s="108"/>
      <c r="O136" s="108"/>
      <c r="P136" s="108"/>
      <c r="Q136" s="128"/>
      <c r="R136" s="111"/>
      <c r="S136" s="111"/>
      <c r="T136" s="112"/>
      <c r="U136" s="108"/>
      <c r="V136" s="108"/>
      <c r="W136" s="111"/>
      <c r="X136" s="52"/>
    </row>
    <row r="137" spans="1:24" x14ac:dyDescent="0.2">
      <c r="A137" s="113"/>
      <c r="B137" s="113"/>
      <c r="C137" s="113"/>
      <c r="D137" s="114">
        <v>41322</v>
      </c>
      <c r="E137" s="115" t="s">
        <v>747</v>
      </c>
      <c r="F137" s="116">
        <v>920</v>
      </c>
      <c r="G137" s="117">
        <v>10.24</v>
      </c>
      <c r="H137" s="117">
        <f>ROUND(IF($I$1="YES",(G137*(1+$I$2)),(G136*(1+$I$2))),2)</f>
        <v>10.09</v>
      </c>
      <c r="I137" s="118">
        <f>ROUND((H137*F137),0)</f>
        <v>9283</v>
      </c>
      <c r="J137" s="119">
        <f>SUM(I136:I137)</f>
        <v>10494</v>
      </c>
      <c r="K137" s="120" t="s">
        <v>104</v>
      </c>
      <c r="L137" s="118">
        <f>ROUND((VLOOKUP(K137,$D$2:$E$10,2,FALSE))*J137,0)</f>
        <v>1905</v>
      </c>
      <c r="M137" s="119">
        <f>ROUND(IF(K137="N",0,(J137*$I$3)),0)</f>
        <v>63</v>
      </c>
      <c r="N137" s="118">
        <f>ROUND((J137*$I$4),0)</f>
        <v>803</v>
      </c>
      <c r="O137" s="118">
        <f>ROUND(J137*$I$5,0)</f>
        <v>236</v>
      </c>
      <c r="P137" s="118">
        <f>ROUND(J137*$I$6,0)</f>
        <v>89</v>
      </c>
      <c r="Q137" s="121">
        <v>0</v>
      </c>
      <c r="R137" s="122">
        <f>ROUND(IF($Q137=0,0,((VLOOKUP($Q137,$K$3:$M$6,2,FALSE))*(1+$L$7))),0)</f>
        <v>0</v>
      </c>
      <c r="S137" s="122">
        <f>ROUND(IF($Q137=0,0,((VLOOKUP($Q137,$K$3:$M$6,3,FALSE))*(1+$M$7))),0)</f>
        <v>0</v>
      </c>
      <c r="T137" s="118">
        <f>SUM(R137,S137)</f>
        <v>0</v>
      </c>
      <c r="U137" s="118">
        <f>SUM(L137:P137,T137)</f>
        <v>3096</v>
      </c>
      <c r="V137" s="118">
        <f>SUM(U137,J137)</f>
        <v>13590</v>
      </c>
      <c r="W137" s="111"/>
      <c r="X137" s="123"/>
    </row>
    <row r="138" spans="1:24" x14ac:dyDescent="0.2">
      <c r="A138" s="40" t="s">
        <v>386</v>
      </c>
      <c r="B138" s="100" t="s">
        <v>363</v>
      </c>
      <c r="C138" s="100" t="s">
        <v>657</v>
      </c>
      <c r="D138" s="124"/>
      <c r="E138" s="125" t="s">
        <v>746</v>
      </c>
      <c r="F138" s="103">
        <v>120</v>
      </c>
      <c r="G138" s="104">
        <v>10.09</v>
      </c>
      <c r="H138" s="104">
        <f>ROUND((G138*(1+$I$2)),2)</f>
        <v>10.09</v>
      </c>
      <c r="I138" s="126">
        <f t="shared" ref="I138:I143" si="23">ROUND((H138*F138),0)</f>
        <v>1211</v>
      </c>
      <c r="J138" s="106"/>
      <c r="K138" s="127"/>
      <c r="L138" s="108"/>
      <c r="M138" s="109"/>
      <c r="N138" s="108"/>
      <c r="O138" s="108"/>
      <c r="P138" s="108"/>
      <c r="Q138" s="128"/>
      <c r="R138" s="111"/>
      <c r="S138" s="111"/>
      <c r="T138" s="112"/>
      <c r="U138" s="108"/>
      <c r="V138" s="108"/>
      <c r="W138" s="111"/>
      <c r="X138" s="52"/>
    </row>
    <row r="139" spans="1:24" x14ac:dyDescent="0.2">
      <c r="A139" s="113"/>
      <c r="B139" s="113"/>
      <c r="C139" s="113"/>
      <c r="D139" s="114">
        <v>41321</v>
      </c>
      <c r="E139" s="115" t="s">
        <v>747</v>
      </c>
      <c r="F139" s="116">
        <v>920</v>
      </c>
      <c r="G139" s="117">
        <v>10.24</v>
      </c>
      <c r="H139" s="117">
        <f>ROUND(IF($I$1="YES",(G139*(1+$I$2)),(G138*(1+$I$2))),2)</f>
        <v>10.09</v>
      </c>
      <c r="I139" s="129">
        <f t="shared" si="23"/>
        <v>9283</v>
      </c>
      <c r="J139" s="119">
        <f>SUM(I138:I139)</f>
        <v>10494</v>
      </c>
      <c r="K139" s="120" t="s">
        <v>104</v>
      </c>
      <c r="L139" s="118">
        <f>ROUND((VLOOKUP(K139,$D$2:$E$10,2,FALSE))*J139,0)</f>
        <v>1905</v>
      </c>
      <c r="M139" s="119">
        <f>ROUND(IF(K139="N",0,(J139*$I$3)),0)</f>
        <v>63</v>
      </c>
      <c r="N139" s="118">
        <f>ROUND((J139*$I$4),0)</f>
        <v>803</v>
      </c>
      <c r="O139" s="118">
        <f>ROUND(J139*$I$5,0)</f>
        <v>236</v>
      </c>
      <c r="P139" s="118">
        <f>ROUND(J139*$I$6,0)</f>
        <v>89</v>
      </c>
      <c r="Q139" s="121">
        <v>0</v>
      </c>
      <c r="R139" s="122">
        <f>ROUND(IF($Q139=0,0,((VLOOKUP($Q139,$K$3:$M$6,2,FALSE))*(1+$L$7))),0)</f>
        <v>0</v>
      </c>
      <c r="S139" s="122">
        <f>ROUND(IF($Q139=0,0,((VLOOKUP($Q139,$K$3:$M$6,3,FALSE))*(1+$M$7))),0)</f>
        <v>0</v>
      </c>
      <c r="T139" s="118">
        <f>SUM(R139,S139)</f>
        <v>0</v>
      </c>
      <c r="U139" s="118">
        <f>SUM(L139:P139,T139)</f>
        <v>3096</v>
      </c>
      <c r="V139" s="118">
        <f>SUM(U139,J139)</f>
        <v>13590</v>
      </c>
      <c r="W139" s="111"/>
      <c r="X139" s="123"/>
    </row>
    <row r="140" spans="1:24" x14ac:dyDescent="0.2">
      <c r="A140" s="40" t="s">
        <v>387</v>
      </c>
      <c r="B140" s="100" t="s">
        <v>363</v>
      </c>
      <c r="C140" s="100" t="s">
        <v>388</v>
      </c>
      <c r="D140" s="124"/>
      <c r="E140" s="102" t="s">
        <v>741</v>
      </c>
      <c r="F140" s="103">
        <v>120</v>
      </c>
      <c r="G140" s="104">
        <v>10.42</v>
      </c>
      <c r="H140" s="104">
        <f>ROUND((G140*(1+$I$2)),2)</f>
        <v>10.42</v>
      </c>
      <c r="I140" s="126">
        <f t="shared" si="23"/>
        <v>1250</v>
      </c>
      <c r="J140" s="106"/>
      <c r="K140" s="127"/>
      <c r="L140" s="108"/>
      <c r="M140" s="109"/>
      <c r="N140" s="108"/>
      <c r="O140" s="108"/>
      <c r="P140" s="108"/>
      <c r="Q140" s="128"/>
      <c r="R140" s="111"/>
      <c r="S140" s="111"/>
      <c r="T140" s="112"/>
      <c r="U140" s="108"/>
      <c r="V140" s="108"/>
      <c r="W140" s="111"/>
      <c r="X140" s="52"/>
    </row>
    <row r="141" spans="1:24" x14ac:dyDescent="0.2">
      <c r="A141" s="113"/>
      <c r="B141" s="113"/>
      <c r="C141" s="113"/>
      <c r="D141" s="114" t="s">
        <v>360</v>
      </c>
      <c r="E141" s="115" t="s">
        <v>742</v>
      </c>
      <c r="F141" s="116">
        <v>920</v>
      </c>
      <c r="G141" s="117">
        <v>10.69</v>
      </c>
      <c r="H141" s="117">
        <f>ROUND(IF($I$1="YES",(G141*(1+$I$2)),(G140*(1+$I$2))),2)</f>
        <v>10.42</v>
      </c>
      <c r="I141" s="129">
        <f t="shared" si="23"/>
        <v>9586</v>
      </c>
      <c r="J141" s="119">
        <f>SUM(I140:I141)</f>
        <v>10836</v>
      </c>
      <c r="K141" s="120" t="s">
        <v>78</v>
      </c>
      <c r="L141" s="118">
        <f>ROUND((VLOOKUP(K141,$D$2:$E$10,2,FALSE))*J141,0)</f>
        <v>2154</v>
      </c>
      <c r="M141" s="119">
        <f>ROUND(IF(K141="N",0,(J141*$I$3)),0)</f>
        <v>65</v>
      </c>
      <c r="N141" s="118">
        <f>ROUND((J141*$I$4),0)</f>
        <v>829</v>
      </c>
      <c r="O141" s="118">
        <f>ROUND(J141*$I$5,0)</f>
        <v>244</v>
      </c>
      <c r="P141" s="118">
        <f>ROUND(J141*$I$6,0)</f>
        <v>92</v>
      </c>
      <c r="Q141" s="121">
        <v>0</v>
      </c>
      <c r="R141" s="122">
        <f>ROUND(IF($Q141=0,0,((VLOOKUP($Q141,$K$3:$M$6,2,FALSE))*(1+$L$7))),0)</f>
        <v>0</v>
      </c>
      <c r="S141" s="122">
        <f>ROUND(IF($Q141=0,0,((VLOOKUP($Q141,$K$3:$M$6,3,FALSE))*(1+$M$7))),0)</f>
        <v>0</v>
      </c>
      <c r="T141" s="118">
        <f>SUM(R141,S141)</f>
        <v>0</v>
      </c>
      <c r="U141" s="118">
        <f>SUM(L141:P141,T141)</f>
        <v>3384</v>
      </c>
      <c r="V141" s="118">
        <f>SUM(U141,J141)</f>
        <v>14220</v>
      </c>
      <c r="W141" s="111"/>
      <c r="X141" s="123"/>
    </row>
    <row r="142" spans="1:24" x14ac:dyDescent="0.2">
      <c r="A142" s="100" t="s">
        <v>389</v>
      </c>
      <c r="B142" s="100" t="s">
        <v>363</v>
      </c>
      <c r="C142" s="100" t="s">
        <v>390</v>
      </c>
      <c r="D142" s="124"/>
      <c r="E142" s="102" t="s">
        <v>743</v>
      </c>
      <c r="F142" s="103">
        <v>248</v>
      </c>
      <c r="G142" s="104">
        <v>11.37</v>
      </c>
      <c r="H142" s="104">
        <f>ROUND((G142*(1+$I$2)),2)</f>
        <v>11.37</v>
      </c>
      <c r="I142" s="126">
        <f t="shared" si="23"/>
        <v>2820</v>
      </c>
      <c r="J142" s="106"/>
      <c r="K142" s="127"/>
      <c r="L142" s="108"/>
      <c r="M142" s="109"/>
      <c r="N142" s="108"/>
      <c r="O142" s="108"/>
      <c r="P142" s="108"/>
      <c r="Q142" s="128"/>
      <c r="R142" s="111"/>
      <c r="S142" s="111"/>
      <c r="T142" s="112"/>
      <c r="U142" s="108"/>
      <c r="V142" s="108"/>
      <c r="W142" s="111"/>
      <c r="X142" s="52"/>
    </row>
    <row r="143" spans="1:24" x14ac:dyDescent="0.2">
      <c r="A143" s="113"/>
      <c r="B143" s="113"/>
      <c r="C143" s="113"/>
      <c r="D143" s="114" t="s">
        <v>391</v>
      </c>
      <c r="E143" s="115" t="s">
        <v>744</v>
      </c>
      <c r="F143" s="116">
        <v>792</v>
      </c>
      <c r="G143" s="117">
        <v>11.62</v>
      </c>
      <c r="H143" s="117">
        <f>ROUND(IF($I$1="YES",(G143*(1+$I$2)),(G142*(1+$I$2))),2)</f>
        <v>11.37</v>
      </c>
      <c r="I143" s="129">
        <f t="shared" si="23"/>
        <v>9005</v>
      </c>
      <c r="J143" s="119">
        <f>SUM(I142:I143)</f>
        <v>11825</v>
      </c>
      <c r="K143" s="120" t="s">
        <v>78</v>
      </c>
      <c r="L143" s="118">
        <f>ROUND((VLOOKUP(K143,$D$2:$E$10,2,FALSE))*J143,0)</f>
        <v>2351</v>
      </c>
      <c r="M143" s="119">
        <f>ROUND(IF(K143="N",0,(J143*$I$3)),0)</f>
        <v>71</v>
      </c>
      <c r="N143" s="118">
        <f>ROUND((J143*$I$4),0)</f>
        <v>905</v>
      </c>
      <c r="O143" s="118">
        <f>ROUND(J143*$I$5,0)</f>
        <v>266</v>
      </c>
      <c r="P143" s="118">
        <f>ROUND(J143*$I$6,0)</f>
        <v>101</v>
      </c>
      <c r="Q143" s="121">
        <v>0</v>
      </c>
      <c r="R143" s="122">
        <f>ROUND(IF($Q143=0,0,((VLOOKUP($Q143,$K$3:$M$6,2,FALSE))*(1+$L$7))),0)</f>
        <v>0</v>
      </c>
      <c r="S143" s="122">
        <f>ROUND(IF($Q143=0,0,((VLOOKUP($Q143,$K$3:$M$6,3,FALSE))*(1+$M$7))),0)</f>
        <v>0</v>
      </c>
      <c r="T143" s="118">
        <f>SUM(R143,S143)</f>
        <v>0</v>
      </c>
      <c r="U143" s="118">
        <f>SUM(L143:P143,T143)</f>
        <v>3694</v>
      </c>
      <c r="V143" s="118">
        <f>SUM(U143,J143)</f>
        <v>15519</v>
      </c>
      <c r="W143" s="111"/>
      <c r="X143" s="123"/>
    </row>
    <row r="144" spans="1:24" x14ac:dyDescent="0.2">
      <c r="A144" s="100" t="s">
        <v>392</v>
      </c>
      <c r="B144" s="100" t="s">
        <v>363</v>
      </c>
      <c r="C144" s="100" t="s">
        <v>393</v>
      </c>
      <c r="D144" s="101"/>
      <c r="E144" s="102" t="s">
        <v>747</v>
      </c>
      <c r="F144" s="103">
        <v>1004</v>
      </c>
      <c r="G144" s="104">
        <v>10.24</v>
      </c>
      <c r="H144" s="104">
        <f>ROUND((G144*(1+$I$2)),2)</f>
        <v>10.24</v>
      </c>
      <c r="I144" s="126">
        <f>ROUND((H144*F144),0)</f>
        <v>10281</v>
      </c>
      <c r="J144" s="106"/>
      <c r="K144" s="127"/>
      <c r="L144" s="108"/>
      <c r="M144" s="109"/>
      <c r="N144" s="108"/>
      <c r="O144" s="108"/>
      <c r="P144" s="108"/>
      <c r="Q144" s="128"/>
      <c r="R144" s="111"/>
      <c r="S144" s="111"/>
      <c r="T144" s="112"/>
      <c r="U144" s="108"/>
      <c r="V144" s="108"/>
      <c r="W144" s="111"/>
      <c r="X144" s="52"/>
    </row>
    <row r="145" spans="1:24" x14ac:dyDescent="0.2">
      <c r="A145" s="113"/>
      <c r="B145" s="113"/>
      <c r="C145" s="113"/>
      <c r="D145" s="114">
        <v>41629</v>
      </c>
      <c r="E145" s="115" t="s">
        <v>741</v>
      </c>
      <c r="F145" s="116">
        <v>36</v>
      </c>
      <c r="G145" s="117">
        <v>10.42</v>
      </c>
      <c r="H145" s="117">
        <f>ROUND(IF($I$1="YES",(G145*(1+$I$2)),(G144*(1+$I$2))),2)</f>
        <v>10.24</v>
      </c>
      <c r="I145" s="118">
        <f>ROUND((H145*F145),0)</f>
        <v>369</v>
      </c>
      <c r="J145" s="119">
        <f>SUM(I144:I145)</f>
        <v>10650</v>
      </c>
      <c r="K145" s="120" t="s">
        <v>104</v>
      </c>
      <c r="L145" s="118">
        <f>ROUND((VLOOKUP(K145,$D$2:$E$10,2,FALSE))*J145,0)</f>
        <v>1933</v>
      </c>
      <c r="M145" s="119">
        <f>ROUND(IF(K145="N",0,(J145*$I$3)),0)</f>
        <v>64</v>
      </c>
      <c r="N145" s="118">
        <f>ROUND((J145*$I$4),0)</f>
        <v>815</v>
      </c>
      <c r="O145" s="118">
        <f>ROUND(J145*$I$5,0)</f>
        <v>240</v>
      </c>
      <c r="P145" s="118">
        <f>ROUND(J145*$I$6,0)</f>
        <v>91</v>
      </c>
      <c r="Q145" s="121">
        <v>0</v>
      </c>
      <c r="R145" s="122">
        <f>ROUND(IF($Q145=0,0,((VLOOKUP($Q145,$K$3:$M$6,2,FALSE))*(1+$L$7))),0)</f>
        <v>0</v>
      </c>
      <c r="S145" s="122">
        <f>ROUND(IF($Q145=0,0,((VLOOKUP($Q145,$K$3:$M$6,3,FALSE))*(1+$M$7))),0)</f>
        <v>0</v>
      </c>
      <c r="T145" s="118">
        <f>SUM(R145,S145)</f>
        <v>0</v>
      </c>
      <c r="U145" s="118">
        <f>SUM(L145:P145,T145)</f>
        <v>3143</v>
      </c>
      <c r="V145" s="118">
        <f>SUM(U145,J145)</f>
        <v>13793</v>
      </c>
      <c r="W145" s="111"/>
      <c r="X145" s="123"/>
    </row>
    <row r="146" spans="1:24" x14ac:dyDescent="0.2">
      <c r="A146" s="40" t="s">
        <v>394</v>
      </c>
      <c r="B146" s="100" t="s">
        <v>363</v>
      </c>
      <c r="C146" s="100" t="s">
        <v>395</v>
      </c>
      <c r="D146" s="124"/>
      <c r="E146" s="125" t="s">
        <v>746</v>
      </c>
      <c r="F146" s="103">
        <v>728</v>
      </c>
      <c r="G146" s="104">
        <v>10.09</v>
      </c>
      <c r="H146" s="104">
        <f>ROUND((G146*(1+$I$2)),2)</f>
        <v>10.09</v>
      </c>
      <c r="I146" s="126">
        <f t="shared" ref="I146:I155" si="24">ROUND((H146*F146),0)</f>
        <v>7346</v>
      </c>
      <c r="J146" s="106"/>
      <c r="K146" s="127"/>
      <c r="L146" s="108"/>
      <c r="M146" s="109"/>
      <c r="N146" s="108"/>
      <c r="O146" s="108"/>
      <c r="P146" s="108"/>
      <c r="Q146" s="128"/>
      <c r="R146" s="111"/>
      <c r="S146" s="111"/>
      <c r="T146" s="112"/>
      <c r="U146" s="108"/>
      <c r="V146" s="108"/>
      <c r="W146" s="111"/>
      <c r="X146" s="52"/>
    </row>
    <row r="147" spans="1:24" x14ac:dyDescent="0.2">
      <c r="A147" s="113"/>
      <c r="B147" s="113"/>
      <c r="C147" s="113"/>
      <c r="D147" s="114">
        <v>41534</v>
      </c>
      <c r="E147" s="115" t="s">
        <v>747</v>
      </c>
      <c r="F147" s="116">
        <v>312</v>
      </c>
      <c r="G147" s="117">
        <v>10.24</v>
      </c>
      <c r="H147" s="117">
        <f>ROUND(IF($I$1="YES",(G147*(1+$I$2)),(G146*(1+$I$2))),2)</f>
        <v>10.09</v>
      </c>
      <c r="I147" s="129">
        <f t="shared" si="24"/>
        <v>3148</v>
      </c>
      <c r="J147" s="119">
        <f>SUM(I146:I147)</f>
        <v>10494</v>
      </c>
      <c r="K147" s="120" t="s">
        <v>78</v>
      </c>
      <c r="L147" s="118">
        <f>ROUND((VLOOKUP(K147,$D$2:$E$10,2,FALSE))*J147,0)</f>
        <v>2086</v>
      </c>
      <c r="M147" s="119">
        <f>ROUND(IF(K147="N",0,(J147*$I$3)),0)</f>
        <v>63</v>
      </c>
      <c r="N147" s="118">
        <f>ROUND((J147*$I$4),0)</f>
        <v>803</v>
      </c>
      <c r="O147" s="118">
        <f>ROUND(J147*$I$5,0)</f>
        <v>236</v>
      </c>
      <c r="P147" s="118">
        <f>ROUND(J147*$I$6,0)</f>
        <v>89</v>
      </c>
      <c r="Q147" s="121">
        <v>0</v>
      </c>
      <c r="R147" s="122">
        <f>ROUND(IF($Q147=0,0,((VLOOKUP($Q147,$K$3:$M$6,2,FALSE))*(1+$L$7))),0)</f>
        <v>0</v>
      </c>
      <c r="S147" s="122">
        <f>ROUND(IF($Q147=0,0,((VLOOKUP($Q147,$K$3:$M$6,3,FALSE))*(1+$M$7))),0)</f>
        <v>0</v>
      </c>
      <c r="T147" s="118">
        <f>SUM(R147,S147)</f>
        <v>0</v>
      </c>
      <c r="U147" s="118">
        <f>SUM(L147:P147,T147)</f>
        <v>3277</v>
      </c>
      <c r="V147" s="118">
        <f>SUM(U147,J147)</f>
        <v>13771</v>
      </c>
      <c r="W147" s="111"/>
      <c r="X147" s="123"/>
    </row>
    <row r="148" spans="1:24" x14ac:dyDescent="0.2">
      <c r="A148" s="40" t="s">
        <v>396</v>
      </c>
      <c r="B148" s="100" t="s">
        <v>363</v>
      </c>
      <c r="C148" s="100" t="s">
        <v>397</v>
      </c>
      <c r="D148" s="124"/>
      <c r="E148" s="102" t="s">
        <v>741</v>
      </c>
      <c r="F148" s="103">
        <v>604</v>
      </c>
      <c r="G148" s="104">
        <v>10.42</v>
      </c>
      <c r="H148" s="104">
        <f>ROUND((G148*(1+$I$2)),2)</f>
        <v>10.42</v>
      </c>
      <c r="I148" s="126">
        <f t="shared" si="24"/>
        <v>6294</v>
      </c>
      <c r="J148" s="106"/>
      <c r="K148" s="127"/>
      <c r="L148" s="108"/>
      <c r="M148" s="109"/>
      <c r="N148" s="108"/>
      <c r="O148" s="108"/>
      <c r="P148" s="108"/>
      <c r="Q148" s="128"/>
      <c r="R148" s="111"/>
      <c r="S148" s="111"/>
      <c r="T148" s="112"/>
      <c r="U148" s="108"/>
      <c r="V148" s="108"/>
      <c r="W148" s="111"/>
      <c r="X148" s="52"/>
    </row>
    <row r="149" spans="1:24" x14ac:dyDescent="0.2">
      <c r="A149" s="113"/>
      <c r="B149" s="113"/>
      <c r="C149" s="113"/>
      <c r="D149" s="114" t="s">
        <v>369</v>
      </c>
      <c r="E149" s="115" t="s">
        <v>742</v>
      </c>
      <c r="F149" s="116">
        <v>436</v>
      </c>
      <c r="G149" s="117">
        <v>10.69</v>
      </c>
      <c r="H149" s="117">
        <f>ROUND(IF($I$1="YES",(G149*(1+$I$2)),(G148*(1+$I$2))),2)</f>
        <v>10.42</v>
      </c>
      <c r="I149" s="129">
        <f t="shared" si="24"/>
        <v>4543</v>
      </c>
      <c r="J149" s="119">
        <f>SUM(I148:I149)</f>
        <v>10837</v>
      </c>
      <c r="K149" s="120" t="s">
        <v>78</v>
      </c>
      <c r="L149" s="118">
        <f>ROUND((VLOOKUP(K149,$D$2:$E$10,2,FALSE))*J149,0)</f>
        <v>2154</v>
      </c>
      <c r="M149" s="119">
        <f>ROUND(IF(K149="N",0,(J149*$I$3)),0)</f>
        <v>65</v>
      </c>
      <c r="N149" s="118">
        <f>ROUND((J149*$I$4),0)</f>
        <v>829</v>
      </c>
      <c r="O149" s="118">
        <f>ROUND(J149*$I$5,0)</f>
        <v>244</v>
      </c>
      <c r="P149" s="118">
        <f>ROUND(J149*$I$6,0)</f>
        <v>92</v>
      </c>
      <c r="Q149" s="121">
        <v>0</v>
      </c>
      <c r="R149" s="122">
        <f>ROUND(IF($Q149=0,0,((VLOOKUP($Q149,$K$3:$M$6,2,FALSE))*(1+$L$7))),0)</f>
        <v>0</v>
      </c>
      <c r="S149" s="122">
        <f>ROUND(IF($Q149=0,0,((VLOOKUP($Q149,$K$3:$M$6,3,FALSE))*(1+$M$7))),0)</f>
        <v>0</v>
      </c>
      <c r="T149" s="118">
        <f>SUM(R149,S149)</f>
        <v>0</v>
      </c>
      <c r="U149" s="118">
        <f>SUM(L149:P149,T149)</f>
        <v>3384</v>
      </c>
      <c r="V149" s="118">
        <f>SUM(U149,J149)</f>
        <v>14221</v>
      </c>
      <c r="W149" s="111"/>
      <c r="X149" s="123"/>
    </row>
    <row r="150" spans="1:24" x14ac:dyDescent="0.2">
      <c r="A150" s="40" t="s">
        <v>677</v>
      </c>
      <c r="B150" s="100" t="s">
        <v>363</v>
      </c>
      <c r="C150" s="100" t="s">
        <v>349</v>
      </c>
      <c r="D150" s="124"/>
      <c r="E150" s="102" t="s">
        <v>746</v>
      </c>
      <c r="F150" s="103">
        <v>120</v>
      </c>
      <c r="G150" s="104">
        <v>10.09</v>
      </c>
      <c r="H150" s="104">
        <f>ROUND((G150*(1+$I$2)),2)</f>
        <v>10.09</v>
      </c>
      <c r="I150" s="126">
        <f t="shared" ref="I150:I151" si="25">ROUND((H150*F150),0)</f>
        <v>1211</v>
      </c>
      <c r="J150" s="106"/>
      <c r="K150" s="127"/>
      <c r="L150" s="108"/>
      <c r="M150" s="109"/>
      <c r="N150" s="108"/>
      <c r="O150" s="108"/>
      <c r="P150" s="108"/>
      <c r="Q150" s="128"/>
      <c r="R150" s="111"/>
      <c r="S150" s="111"/>
      <c r="T150" s="112"/>
      <c r="U150" s="108"/>
      <c r="V150" s="108"/>
      <c r="W150" s="111"/>
      <c r="X150" s="52"/>
    </row>
    <row r="151" spans="1:24" x14ac:dyDescent="0.2">
      <c r="A151" s="113"/>
      <c r="B151" s="113"/>
      <c r="C151" s="113"/>
      <c r="D151" s="114">
        <v>41321</v>
      </c>
      <c r="E151" s="115" t="s">
        <v>747</v>
      </c>
      <c r="F151" s="116">
        <v>920</v>
      </c>
      <c r="G151" s="117">
        <v>10.24</v>
      </c>
      <c r="H151" s="117">
        <f>ROUND(IF($I$1="YES",(G151*(1+$I$2)),(G150*(1+$I$2))),2)</f>
        <v>10.09</v>
      </c>
      <c r="I151" s="129">
        <f t="shared" si="25"/>
        <v>9283</v>
      </c>
      <c r="J151" s="119">
        <f>SUM(I150:I151)</f>
        <v>10494</v>
      </c>
      <c r="K151" s="120" t="s">
        <v>104</v>
      </c>
      <c r="L151" s="118">
        <f>ROUND((VLOOKUP(K151,$D$2:$E$10,2,FALSE))*J151,0)</f>
        <v>1905</v>
      </c>
      <c r="M151" s="119">
        <f>ROUND(IF(K151="N",0,(J151*$I$3)),0)</f>
        <v>63</v>
      </c>
      <c r="N151" s="118">
        <f>ROUND((J151*$I$4),0)</f>
        <v>803</v>
      </c>
      <c r="O151" s="118">
        <f>ROUND(J151*$I$5,0)</f>
        <v>236</v>
      </c>
      <c r="P151" s="118">
        <f>ROUND(J151*$I$6,0)</f>
        <v>89</v>
      </c>
      <c r="Q151" s="121">
        <v>0</v>
      </c>
      <c r="R151" s="122">
        <f>ROUND(IF($Q151=0,0,((VLOOKUP($Q151,$K$3:$M$6,2,FALSE))*(1+$L$7))),0)</f>
        <v>0</v>
      </c>
      <c r="S151" s="122">
        <f>ROUND(IF($Q151=0,0,((VLOOKUP($Q151,$K$3:$M$6,3,FALSE))*(1+$M$7))),0)</f>
        <v>0</v>
      </c>
      <c r="T151" s="118">
        <f>SUM(R151,S151)</f>
        <v>0</v>
      </c>
      <c r="U151" s="118">
        <f>SUM(L151:P151,T151)</f>
        <v>3096</v>
      </c>
      <c r="V151" s="118">
        <f>SUM(U151,J151)</f>
        <v>13590</v>
      </c>
      <c r="W151" s="111"/>
      <c r="X151" s="123"/>
    </row>
    <row r="152" spans="1:24" x14ac:dyDescent="0.2">
      <c r="A152" s="40" t="s">
        <v>678</v>
      </c>
      <c r="B152" s="100" t="s">
        <v>363</v>
      </c>
      <c r="C152" s="100" t="s">
        <v>679</v>
      </c>
      <c r="D152" s="124"/>
      <c r="E152" s="102" t="s">
        <v>746</v>
      </c>
      <c r="F152" s="103">
        <v>120</v>
      </c>
      <c r="G152" s="104">
        <v>10.09</v>
      </c>
      <c r="H152" s="104">
        <f>ROUND((G152*(1+$I$2)),2)</f>
        <v>10.09</v>
      </c>
      <c r="I152" s="126">
        <f t="shared" ref="I152:I153" si="26">ROUND((H152*F152),0)</f>
        <v>1211</v>
      </c>
      <c r="J152" s="106"/>
      <c r="K152" s="127"/>
      <c r="L152" s="108"/>
      <c r="M152" s="109"/>
      <c r="N152" s="108"/>
      <c r="O152" s="108"/>
      <c r="P152" s="108"/>
      <c r="Q152" s="128"/>
      <c r="R152" s="111"/>
      <c r="S152" s="111"/>
      <c r="T152" s="112"/>
      <c r="U152" s="108"/>
      <c r="V152" s="108"/>
      <c r="W152" s="111"/>
      <c r="X152" s="52"/>
    </row>
    <row r="153" spans="1:24" x14ac:dyDescent="0.2">
      <c r="A153" s="113"/>
      <c r="B153" s="113"/>
      <c r="C153" s="113"/>
      <c r="D153" s="114">
        <v>41321</v>
      </c>
      <c r="E153" s="115" t="s">
        <v>747</v>
      </c>
      <c r="F153" s="116">
        <v>920</v>
      </c>
      <c r="G153" s="117">
        <v>10.24</v>
      </c>
      <c r="H153" s="117">
        <f>ROUND(IF($I$1="YES",(G153*(1+$I$2)),(G152*(1+$I$2))),2)</f>
        <v>10.09</v>
      </c>
      <c r="I153" s="129">
        <f t="shared" si="26"/>
        <v>9283</v>
      </c>
      <c r="J153" s="119">
        <f>SUM(I152:I153)</f>
        <v>10494</v>
      </c>
      <c r="K153" s="120" t="s">
        <v>104</v>
      </c>
      <c r="L153" s="118">
        <f>ROUND((VLOOKUP(K153,$D$2:$E$10,2,FALSE))*J153,0)</f>
        <v>1905</v>
      </c>
      <c r="M153" s="119">
        <f>ROUND(IF(K153="N",0,(J153*$I$3)),0)</f>
        <v>63</v>
      </c>
      <c r="N153" s="118">
        <f>ROUND((J153*$I$4),0)</f>
        <v>803</v>
      </c>
      <c r="O153" s="118">
        <f>ROUND(J153*$I$5,0)</f>
        <v>236</v>
      </c>
      <c r="P153" s="118">
        <f>ROUND(J153*$I$6,0)</f>
        <v>89</v>
      </c>
      <c r="Q153" s="121">
        <v>0</v>
      </c>
      <c r="R153" s="122">
        <f>ROUND(IF($Q153=0,0,((VLOOKUP($Q153,$K$3:$M$6,2,FALSE))*(1+$L$7))),0)</f>
        <v>0</v>
      </c>
      <c r="S153" s="122">
        <f>ROUND(IF($Q153=0,0,((VLOOKUP($Q153,$K$3:$M$6,3,FALSE))*(1+$M$7))),0)</f>
        <v>0</v>
      </c>
      <c r="T153" s="118">
        <f>SUM(R153,S153)</f>
        <v>0</v>
      </c>
      <c r="U153" s="118">
        <f>SUM(L153:P153,T153)</f>
        <v>3096</v>
      </c>
      <c r="V153" s="118">
        <f>SUM(U153,J153)</f>
        <v>13590</v>
      </c>
      <c r="W153" s="111"/>
      <c r="X153" s="123"/>
    </row>
    <row r="154" spans="1:24" x14ac:dyDescent="0.2">
      <c r="A154" s="100" t="s">
        <v>398</v>
      </c>
      <c r="B154" s="100" t="s">
        <v>363</v>
      </c>
      <c r="C154" s="100" t="s">
        <v>399</v>
      </c>
      <c r="D154" s="124"/>
      <c r="E154" s="102" t="s">
        <v>741</v>
      </c>
      <c r="F154" s="103">
        <v>408</v>
      </c>
      <c r="G154" s="104">
        <v>10.42</v>
      </c>
      <c r="H154" s="104">
        <f>ROUND((G154*(1+$I$2)),2)</f>
        <v>10.42</v>
      </c>
      <c r="I154" s="126">
        <f t="shared" si="24"/>
        <v>4251</v>
      </c>
      <c r="J154" s="106"/>
      <c r="K154" s="127"/>
      <c r="L154" s="108"/>
      <c r="M154" s="109"/>
      <c r="N154" s="108"/>
      <c r="O154" s="108"/>
      <c r="P154" s="108"/>
      <c r="Q154" s="128"/>
      <c r="R154" s="111"/>
      <c r="S154" s="111"/>
      <c r="T154" s="112"/>
      <c r="U154" s="108"/>
      <c r="V154" s="108"/>
      <c r="W154" s="111"/>
      <c r="X154" s="52"/>
    </row>
    <row r="155" spans="1:24" x14ac:dyDescent="0.2">
      <c r="A155" s="113"/>
      <c r="B155" s="113"/>
      <c r="C155" s="113"/>
      <c r="D155" s="114" t="s">
        <v>294</v>
      </c>
      <c r="E155" s="115" t="s">
        <v>742</v>
      </c>
      <c r="F155" s="116">
        <v>632</v>
      </c>
      <c r="G155" s="117">
        <v>10.69</v>
      </c>
      <c r="H155" s="117">
        <f>ROUND(IF($I$1="YES",(G155*(1+$I$2)),(G154*(1+$I$2))),2)</f>
        <v>10.42</v>
      </c>
      <c r="I155" s="129">
        <f t="shared" si="24"/>
        <v>6585</v>
      </c>
      <c r="J155" s="119">
        <f>SUM(I154:I155)</f>
        <v>10836</v>
      </c>
      <c r="K155" s="120" t="s">
        <v>78</v>
      </c>
      <c r="L155" s="118">
        <f>ROUND((VLOOKUP(K155,$D$2:$E$10,2,FALSE))*J155,0)</f>
        <v>2154</v>
      </c>
      <c r="M155" s="119">
        <f>ROUND(IF(K155="N",0,(J155*$I$3)),0)</f>
        <v>65</v>
      </c>
      <c r="N155" s="118">
        <f>ROUND((J155*$I$4),0)</f>
        <v>829</v>
      </c>
      <c r="O155" s="118">
        <f>ROUND(J155*$I$5,0)</f>
        <v>244</v>
      </c>
      <c r="P155" s="118">
        <f>ROUND(J155*$I$6,0)</f>
        <v>92</v>
      </c>
      <c r="Q155" s="121">
        <v>0</v>
      </c>
      <c r="R155" s="122">
        <f>ROUND(IF($Q155=0,0,((VLOOKUP($Q155,$K$3:$M$6,2,FALSE))*(1+$L$7))),0)</f>
        <v>0</v>
      </c>
      <c r="S155" s="122">
        <f>ROUND(IF($Q155=0,0,((VLOOKUP($Q155,$K$3:$M$6,3,FALSE))*(1+$M$7))),0)</f>
        <v>0</v>
      </c>
      <c r="T155" s="118">
        <f>SUM(R155,S155)</f>
        <v>0</v>
      </c>
      <c r="U155" s="118">
        <f>SUM(L155:P155,T155)</f>
        <v>3384</v>
      </c>
      <c r="V155" s="118">
        <f>SUM(U155,J155)</f>
        <v>14220</v>
      </c>
      <c r="W155" s="111"/>
      <c r="X155" s="123"/>
    </row>
    <row r="156" spans="1:24" x14ac:dyDescent="0.2">
      <c r="A156" s="100" t="s">
        <v>400</v>
      </c>
      <c r="B156" s="100" t="s">
        <v>401</v>
      </c>
      <c r="C156" s="100" t="s">
        <v>402</v>
      </c>
      <c r="D156" s="101"/>
      <c r="E156" s="102" t="s">
        <v>748</v>
      </c>
      <c r="F156" s="103">
        <v>644</v>
      </c>
      <c r="G156" s="104">
        <v>13.81</v>
      </c>
      <c r="H156" s="104">
        <v>13.81</v>
      </c>
      <c r="I156" s="126">
        <f>ROUND((H156*F156),0)</f>
        <v>8894</v>
      </c>
      <c r="J156" s="106"/>
      <c r="K156" s="127"/>
      <c r="L156" s="108"/>
      <c r="M156" s="109"/>
      <c r="N156" s="108"/>
      <c r="O156" s="108"/>
      <c r="P156" s="108"/>
      <c r="Q156" s="128"/>
      <c r="R156" s="111"/>
      <c r="S156" s="111"/>
      <c r="T156" s="112"/>
      <c r="U156" s="108"/>
      <c r="V156" s="108"/>
      <c r="W156" s="111"/>
      <c r="X156" s="52"/>
    </row>
    <row r="157" spans="1:24" x14ac:dyDescent="0.2">
      <c r="A157" s="113"/>
      <c r="B157" s="113"/>
      <c r="C157" s="113"/>
      <c r="D157" s="114" t="s">
        <v>403</v>
      </c>
      <c r="E157" s="115" t="s">
        <v>749</v>
      </c>
      <c r="F157" s="116">
        <v>396</v>
      </c>
      <c r="G157" s="117">
        <v>14.11</v>
      </c>
      <c r="H157" s="117">
        <f>ROUND(IF($I$1="YES",(G157*(1+$I$2)),(G156*(1+$I$2))),2)</f>
        <v>13.81</v>
      </c>
      <c r="I157" s="118">
        <f>ROUND((H157*F157),0)</f>
        <v>5469</v>
      </c>
      <c r="J157" s="119">
        <f>SUM(I156:I157)</f>
        <v>14363</v>
      </c>
      <c r="K157" s="120" t="s">
        <v>78</v>
      </c>
      <c r="L157" s="118">
        <f>ROUND((VLOOKUP(K157,$D$2:$E$10,2,FALSE))*J157,0)</f>
        <v>2855</v>
      </c>
      <c r="M157" s="119">
        <f>ROUND(IF(K157="N",0,(J157*$I$3)),0)</f>
        <v>86</v>
      </c>
      <c r="N157" s="118">
        <f>ROUND((J157*$I$4),0)</f>
        <v>1099</v>
      </c>
      <c r="O157" s="118">
        <f>ROUND(J157*$I$5,0)</f>
        <v>323</v>
      </c>
      <c r="P157" s="118">
        <f>ROUND(J157*$I$6,0)</f>
        <v>122</v>
      </c>
      <c r="Q157" s="121">
        <v>0</v>
      </c>
      <c r="R157" s="122">
        <f>ROUND(IF($Q157=0,0,((VLOOKUP($Q157,$K$3:$M$6,2,FALSE))*(1+$L$7))),0)</f>
        <v>0</v>
      </c>
      <c r="S157" s="122">
        <f>ROUND(IF($Q157=0,0,((VLOOKUP($Q157,$K$3:$M$6,3,FALSE))*(1+$M$7))),0)</f>
        <v>0</v>
      </c>
      <c r="T157" s="118">
        <f>SUM(R157,S157)</f>
        <v>0</v>
      </c>
      <c r="U157" s="118">
        <f>SUM(L157:P157,T157)</f>
        <v>4485</v>
      </c>
      <c r="V157" s="118">
        <f>SUM(U157,J157)</f>
        <v>18848</v>
      </c>
      <c r="W157" s="111"/>
      <c r="X157" s="123"/>
    </row>
    <row r="158" spans="1:24" x14ac:dyDescent="0.2">
      <c r="A158" s="40" t="s">
        <v>404</v>
      </c>
      <c r="B158" s="100" t="s">
        <v>405</v>
      </c>
      <c r="C158" s="100" t="s">
        <v>406</v>
      </c>
      <c r="D158" s="124"/>
      <c r="E158" s="125" t="s">
        <v>750</v>
      </c>
      <c r="F158" s="103">
        <v>200</v>
      </c>
      <c r="G158" s="104">
        <v>16.260000000000002</v>
      </c>
      <c r="H158" s="104">
        <f>ROUND((G158*(1+$I$2)),2)</f>
        <v>16.260000000000002</v>
      </c>
      <c r="I158" s="126">
        <f t="shared" ref="I158:I163" si="27">ROUND((H158*F158),0)</f>
        <v>3252</v>
      </c>
      <c r="J158" s="106"/>
      <c r="K158" s="127"/>
      <c r="L158" s="108"/>
      <c r="M158" s="109"/>
      <c r="N158" s="108"/>
      <c r="O158" s="108"/>
      <c r="P158" s="108"/>
      <c r="Q158" s="128"/>
      <c r="R158" s="111"/>
      <c r="S158" s="111"/>
      <c r="T158" s="112"/>
      <c r="U158" s="108"/>
      <c r="V158" s="108"/>
      <c r="W158" s="111"/>
      <c r="X158" s="52"/>
    </row>
    <row r="159" spans="1:24" x14ac:dyDescent="0.2">
      <c r="A159" s="113"/>
      <c r="B159" s="113"/>
      <c r="C159" s="113"/>
      <c r="D159" s="114" t="s">
        <v>407</v>
      </c>
      <c r="E159" s="115" t="s">
        <v>751</v>
      </c>
      <c r="F159" s="116">
        <v>840</v>
      </c>
      <c r="G159" s="117">
        <v>16.61</v>
      </c>
      <c r="H159" s="117">
        <f>ROUND(IF($I$1="YES",(G159*(1+$I$2)),(G158*(1+$I$2))),2)</f>
        <v>16.260000000000002</v>
      </c>
      <c r="I159" s="129">
        <f t="shared" si="27"/>
        <v>13658</v>
      </c>
      <c r="J159" s="119">
        <f>SUM(I158:I159)</f>
        <v>16910</v>
      </c>
      <c r="K159" s="120" t="s">
        <v>78</v>
      </c>
      <c r="L159" s="118">
        <f>ROUND((VLOOKUP(K159,$D$2:$E$10,2,FALSE))*J159,0)</f>
        <v>3362</v>
      </c>
      <c r="M159" s="119">
        <f>ROUND(IF(K159="N",0,(J159*$I$3)),0)</f>
        <v>101</v>
      </c>
      <c r="N159" s="118">
        <f>ROUND((J159*$I$4),0)</f>
        <v>1294</v>
      </c>
      <c r="O159" s="118">
        <f>ROUND(J159*$I$5,0)</f>
        <v>380</v>
      </c>
      <c r="P159" s="118">
        <f>ROUND(J159*$I$6,0)</f>
        <v>144</v>
      </c>
      <c r="Q159" s="121">
        <v>0</v>
      </c>
      <c r="R159" s="122">
        <f>ROUND(IF($Q159=0,0,((VLOOKUP($Q159,$K$3:$M$6,2,FALSE))*(1+$L$7))),0)</f>
        <v>0</v>
      </c>
      <c r="S159" s="122">
        <f>ROUND(IF($Q159=0,0,((VLOOKUP($Q159,$K$3:$M$6,3,FALSE))*(1+$M$7))),0)</f>
        <v>0</v>
      </c>
      <c r="T159" s="118">
        <f>SUM(R159,S159)</f>
        <v>0</v>
      </c>
      <c r="U159" s="118">
        <f>SUM(L159:P159,T159)</f>
        <v>5281</v>
      </c>
      <c r="V159" s="118">
        <f>SUM(U159,J159)</f>
        <v>22191</v>
      </c>
      <c r="W159" s="111"/>
      <c r="X159" s="123"/>
    </row>
    <row r="160" spans="1:24" x14ac:dyDescent="0.2">
      <c r="A160" s="40" t="s">
        <v>408</v>
      </c>
      <c r="B160" s="100" t="s">
        <v>405</v>
      </c>
      <c r="C160" s="100" t="s">
        <v>409</v>
      </c>
      <c r="D160" s="124"/>
      <c r="E160" s="102" t="s">
        <v>752</v>
      </c>
      <c r="F160" s="103">
        <v>52</v>
      </c>
      <c r="G160" s="104">
        <v>13.86</v>
      </c>
      <c r="H160" s="104">
        <f>ROUND((G160*(1+$I$2)),2)</f>
        <v>13.86</v>
      </c>
      <c r="I160" s="126">
        <f t="shared" si="27"/>
        <v>721</v>
      </c>
      <c r="J160" s="106"/>
      <c r="K160" s="127"/>
      <c r="L160" s="108"/>
      <c r="M160" s="109"/>
      <c r="N160" s="108"/>
      <c r="O160" s="108"/>
      <c r="P160" s="108"/>
      <c r="Q160" s="128"/>
      <c r="R160" s="111"/>
      <c r="S160" s="111"/>
      <c r="T160" s="112"/>
      <c r="U160" s="108"/>
      <c r="V160" s="108"/>
      <c r="W160" s="111"/>
      <c r="X160" s="52"/>
    </row>
    <row r="161" spans="1:24" x14ac:dyDescent="0.2">
      <c r="A161" s="113"/>
      <c r="B161" s="113"/>
      <c r="C161" s="113"/>
      <c r="D161" s="114" t="s">
        <v>410</v>
      </c>
      <c r="E161" s="115" t="s">
        <v>753</v>
      </c>
      <c r="F161" s="116">
        <v>988</v>
      </c>
      <c r="G161" s="117">
        <v>14.14</v>
      </c>
      <c r="H161" s="117">
        <f>ROUND(IF($I$1="YES",(G161*(1+$I$2)),(G160*(1+$I$2))),2)</f>
        <v>13.86</v>
      </c>
      <c r="I161" s="129">
        <f t="shared" si="27"/>
        <v>13694</v>
      </c>
      <c r="J161" s="119">
        <f>SUM(I160:I161)</f>
        <v>14415</v>
      </c>
      <c r="K161" s="120" t="s">
        <v>78</v>
      </c>
      <c r="L161" s="118">
        <f>ROUND((VLOOKUP(K161,$D$2:$E$10,2,FALSE))*J161,0)</f>
        <v>2866</v>
      </c>
      <c r="M161" s="119">
        <f>ROUND(IF(K161="N",0,(J161*$I$3)),0)</f>
        <v>86</v>
      </c>
      <c r="N161" s="118">
        <f>ROUND((J161*$I$4),0)</f>
        <v>1103</v>
      </c>
      <c r="O161" s="118">
        <f>ROUND(J161*$I$5,0)</f>
        <v>324</v>
      </c>
      <c r="P161" s="118">
        <f>ROUND(J161*$I$6,0)</f>
        <v>123</v>
      </c>
      <c r="Q161" s="121">
        <v>0</v>
      </c>
      <c r="R161" s="122">
        <f>ROUND(IF($Q161=0,0,((VLOOKUP($Q161,$K$3:$M$6,2,FALSE))*(1+$L$7))),0)</f>
        <v>0</v>
      </c>
      <c r="S161" s="122">
        <f>ROUND(IF($Q161=0,0,((VLOOKUP($Q161,$K$3:$M$6,3,FALSE))*(1+$M$7))),0)</f>
        <v>0</v>
      </c>
      <c r="T161" s="118">
        <f>SUM(R161,S161)</f>
        <v>0</v>
      </c>
      <c r="U161" s="118">
        <f>SUM(L161:P161,T161)</f>
        <v>4502</v>
      </c>
      <c r="V161" s="118">
        <f>SUM(U161,J161)</f>
        <v>18917</v>
      </c>
      <c r="W161" s="111"/>
      <c r="X161" s="123"/>
    </row>
    <row r="162" spans="1:24" x14ac:dyDescent="0.2">
      <c r="A162" s="100" t="s">
        <v>411</v>
      </c>
      <c r="B162" s="100" t="s">
        <v>405</v>
      </c>
      <c r="C162" s="100" t="s">
        <v>412</v>
      </c>
      <c r="D162" s="124"/>
      <c r="E162" s="102" t="s">
        <v>754</v>
      </c>
      <c r="F162" s="103">
        <v>728</v>
      </c>
      <c r="G162" s="104">
        <v>12.14</v>
      </c>
      <c r="H162" s="104">
        <f>ROUND((G162*(1+$I$2)),2)</f>
        <v>12.14</v>
      </c>
      <c r="I162" s="126">
        <f t="shared" si="27"/>
        <v>8838</v>
      </c>
      <c r="J162" s="106"/>
      <c r="K162" s="127"/>
      <c r="L162" s="108"/>
      <c r="M162" s="109"/>
      <c r="N162" s="108"/>
      <c r="O162" s="108"/>
      <c r="P162" s="108"/>
      <c r="Q162" s="128"/>
      <c r="R162" s="111"/>
      <c r="S162" s="111"/>
      <c r="T162" s="112"/>
      <c r="U162" s="108"/>
      <c r="V162" s="108"/>
      <c r="W162" s="111"/>
      <c r="X162" s="52"/>
    </row>
    <row r="163" spans="1:24" x14ac:dyDescent="0.2">
      <c r="A163" s="113"/>
      <c r="B163" s="113"/>
      <c r="C163" s="113"/>
      <c r="D163" s="114">
        <v>41536</v>
      </c>
      <c r="E163" s="115" t="s">
        <v>755</v>
      </c>
      <c r="F163" s="116">
        <v>312</v>
      </c>
      <c r="G163" s="117">
        <v>12.53</v>
      </c>
      <c r="H163" s="117">
        <f>ROUND(IF($I$1="YES",(G163*(1+$I$2)),(G162*(1+$I$2))),2)</f>
        <v>12.14</v>
      </c>
      <c r="I163" s="129">
        <f t="shared" si="27"/>
        <v>3788</v>
      </c>
      <c r="J163" s="119">
        <f>SUM(I162:I163)</f>
        <v>12626</v>
      </c>
      <c r="K163" s="120" t="s">
        <v>78</v>
      </c>
      <c r="L163" s="118">
        <f>ROUND((VLOOKUP(K163,$D$2:$E$10,2,FALSE))*J163,0)</f>
        <v>2510</v>
      </c>
      <c r="M163" s="119">
        <f>ROUND(IF(K163="N",0,(J163*$I$3)),0)</f>
        <v>76</v>
      </c>
      <c r="N163" s="118">
        <f>ROUND((J163*$I$4),0)</f>
        <v>966</v>
      </c>
      <c r="O163" s="118">
        <f>ROUND(J163*$I$5,0)</f>
        <v>284</v>
      </c>
      <c r="P163" s="118">
        <f>ROUND(J163*$I$6,0)</f>
        <v>107</v>
      </c>
      <c r="Q163" s="121">
        <v>0</v>
      </c>
      <c r="R163" s="122">
        <f>ROUND(IF($Q163=0,0,((VLOOKUP($Q163,$K$3:$M$6,2,FALSE))*(1+$L$7))),0)</f>
        <v>0</v>
      </c>
      <c r="S163" s="122">
        <f>ROUND(IF($Q163=0,0,((VLOOKUP($Q163,$K$3:$M$6,3,FALSE))*(1+$M$7))),0)</f>
        <v>0</v>
      </c>
      <c r="T163" s="118">
        <f>SUM(R163,S163)</f>
        <v>0</v>
      </c>
      <c r="U163" s="118">
        <f>SUM(L163:P163,T163)</f>
        <v>3943</v>
      </c>
      <c r="V163" s="118">
        <f>SUM(U163,J163)</f>
        <v>16569</v>
      </c>
      <c r="W163" s="111"/>
      <c r="X163" s="123"/>
    </row>
    <row r="164" spans="1:24" x14ac:dyDescent="0.2">
      <c r="A164" s="100" t="s">
        <v>414</v>
      </c>
      <c r="B164" s="100" t="s">
        <v>405</v>
      </c>
      <c r="C164" s="100" t="s">
        <v>415</v>
      </c>
      <c r="D164" s="101"/>
      <c r="E164" s="102" t="s">
        <v>752</v>
      </c>
      <c r="F164" s="103">
        <v>160</v>
      </c>
      <c r="G164" s="104">
        <v>13.86</v>
      </c>
      <c r="H164" s="104">
        <f>ROUND((G164*(1+$I$2)),2)</f>
        <v>13.86</v>
      </c>
      <c r="I164" s="126">
        <f t="shared" ref="I164:I179" si="28">ROUND((H164*F164),0)</f>
        <v>2218</v>
      </c>
      <c r="J164" s="106"/>
      <c r="K164" s="127"/>
      <c r="L164" s="108"/>
      <c r="M164" s="109"/>
      <c r="N164" s="108"/>
      <c r="O164" s="108"/>
      <c r="P164" s="108"/>
      <c r="Q164" s="128"/>
      <c r="R164" s="111"/>
      <c r="S164" s="111"/>
      <c r="T164" s="112"/>
      <c r="U164" s="108"/>
      <c r="V164" s="108"/>
      <c r="W164" s="111"/>
      <c r="X164" s="52"/>
    </row>
    <row r="165" spans="1:24" x14ac:dyDescent="0.2">
      <c r="A165" s="113"/>
      <c r="B165" s="113"/>
      <c r="C165" s="113"/>
      <c r="D165" s="114" t="s">
        <v>416</v>
      </c>
      <c r="E165" s="115" t="s">
        <v>753</v>
      </c>
      <c r="F165" s="116">
        <v>1920</v>
      </c>
      <c r="G165" s="117">
        <v>14.14</v>
      </c>
      <c r="H165" s="117">
        <f>ROUND(IF($I$1="YES",(G165*(1+$I$2)),(G164*(1+$I$2))),2)</f>
        <v>13.86</v>
      </c>
      <c r="I165" s="118">
        <f t="shared" si="28"/>
        <v>26611</v>
      </c>
      <c r="J165" s="119">
        <f>SUM(I164:I165)</f>
        <v>28829</v>
      </c>
      <c r="K165" s="120" t="s">
        <v>78</v>
      </c>
      <c r="L165" s="118">
        <f>ROUND((VLOOKUP(K165,$D$2:$E$10,2,FALSE))*J165,0)</f>
        <v>5731</v>
      </c>
      <c r="M165" s="119">
        <f>ROUND(IF(K165="N",0,(J165*$I$3)),0)</f>
        <v>173</v>
      </c>
      <c r="N165" s="118">
        <f>ROUND((J165*$I$4),0)</f>
        <v>2205</v>
      </c>
      <c r="O165" s="118">
        <f>ROUND(J165*$I$5,0)</f>
        <v>649</v>
      </c>
      <c r="P165" s="118">
        <f>ROUND(J165*$I$6,0)</f>
        <v>245</v>
      </c>
      <c r="Q165" s="121">
        <v>1</v>
      </c>
      <c r="R165" s="122">
        <f>ROUND(IF($Q165=0,0,((VLOOKUP($Q165,$K$3:$M$6,2,FALSE))*(1+$L$7))),0)</f>
        <v>4019</v>
      </c>
      <c r="S165" s="122">
        <f>ROUND(IF($Q165=0,0,((VLOOKUP($Q165,$K$3:$M$6,3,FALSE))*(1+$M$7))),0)</f>
        <v>324</v>
      </c>
      <c r="T165" s="118">
        <f>SUM(R165,S165)</f>
        <v>4343</v>
      </c>
      <c r="U165" s="118">
        <f>SUM(L165:P165,T165)</f>
        <v>13346</v>
      </c>
      <c r="V165" s="118">
        <f>SUM(U165,J165)</f>
        <v>42175</v>
      </c>
      <c r="W165" s="111"/>
      <c r="X165" s="123"/>
    </row>
    <row r="166" spans="1:24" x14ac:dyDescent="0.2">
      <c r="A166" s="100" t="s">
        <v>680</v>
      </c>
      <c r="B166" s="100" t="s">
        <v>405</v>
      </c>
      <c r="C166" s="100" t="s">
        <v>681</v>
      </c>
      <c r="D166" s="101"/>
      <c r="E166" s="102" t="s">
        <v>722</v>
      </c>
      <c r="F166" s="103">
        <v>120</v>
      </c>
      <c r="G166" s="104">
        <v>12.78</v>
      </c>
      <c r="H166" s="104">
        <f>ROUND((G166*(1+$I$2)),2)</f>
        <v>12.78</v>
      </c>
      <c r="I166" s="126">
        <f t="shared" si="28"/>
        <v>1534</v>
      </c>
      <c r="J166" s="106"/>
      <c r="K166" s="127"/>
      <c r="L166" s="108"/>
      <c r="M166" s="109"/>
      <c r="N166" s="108"/>
      <c r="O166" s="108"/>
      <c r="P166" s="108"/>
      <c r="Q166" s="128"/>
      <c r="R166" s="111"/>
      <c r="S166" s="111"/>
      <c r="T166" s="112"/>
      <c r="U166" s="108"/>
      <c r="V166" s="108"/>
      <c r="W166" s="111"/>
      <c r="X166" s="52"/>
    </row>
    <row r="167" spans="1:24" x14ac:dyDescent="0.2">
      <c r="A167" s="113"/>
      <c r="B167" s="113"/>
      <c r="C167" s="113"/>
      <c r="D167" s="114">
        <v>41321</v>
      </c>
      <c r="E167" s="115" t="s">
        <v>723</v>
      </c>
      <c r="F167" s="116">
        <v>920</v>
      </c>
      <c r="G167" s="117">
        <v>13.03</v>
      </c>
      <c r="H167" s="117">
        <f>ROUND(IF($I$1="YES",(G167*(1+$I$2)),(G166*(1+$I$2))),2)</f>
        <v>12.78</v>
      </c>
      <c r="I167" s="118">
        <f t="shared" si="28"/>
        <v>11758</v>
      </c>
      <c r="J167" s="119">
        <f>SUM(I166:I167)</f>
        <v>13292</v>
      </c>
      <c r="K167" s="120" t="s">
        <v>78</v>
      </c>
      <c r="L167" s="118">
        <f>ROUND((VLOOKUP(K167,$D$2:$E$10,2,FALSE))*J167,0)</f>
        <v>2642</v>
      </c>
      <c r="M167" s="119">
        <f>ROUND(IF(K167="N",0,(J167*$I$3)),0)</f>
        <v>80</v>
      </c>
      <c r="N167" s="118">
        <f>ROUND((J167*$I$4),0)</f>
        <v>1017</v>
      </c>
      <c r="O167" s="118">
        <f>ROUND(J167*$I$5,0)</f>
        <v>299</v>
      </c>
      <c r="P167" s="118">
        <f>ROUND(J167*$I$6,0)</f>
        <v>113</v>
      </c>
      <c r="Q167" s="121"/>
      <c r="R167" s="122">
        <f>ROUND(IF($Q167=0,0,((VLOOKUP($Q167,$K$3:$M$6,2,FALSE))*(1+$L$7))),0)</f>
        <v>0</v>
      </c>
      <c r="S167" s="122">
        <f>ROUND(IF($Q167=0,0,((VLOOKUP($Q167,$K$3:$M$6,3,FALSE))*(1+$M$7))),0)</f>
        <v>0</v>
      </c>
      <c r="T167" s="118">
        <f>SUM(R167,S167)</f>
        <v>0</v>
      </c>
      <c r="U167" s="118">
        <f>SUM(L167:P167,T167)</f>
        <v>4151</v>
      </c>
      <c r="V167" s="118">
        <f>SUM(U167,J167)</f>
        <v>17443</v>
      </c>
      <c r="W167" s="111"/>
      <c r="X167" s="123"/>
    </row>
    <row r="168" spans="1:24" x14ac:dyDescent="0.2">
      <c r="A168" s="100" t="s">
        <v>682</v>
      </c>
      <c r="B168" s="100" t="s">
        <v>405</v>
      </c>
      <c r="C168" s="100" t="s">
        <v>683</v>
      </c>
      <c r="D168" s="101"/>
      <c r="E168" s="102" t="s">
        <v>716</v>
      </c>
      <c r="F168" s="103">
        <v>120</v>
      </c>
      <c r="G168" s="104">
        <v>11.08</v>
      </c>
      <c r="H168" s="104">
        <v>11.08</v>
      </c>
      <c r="I168" s="126">
        <f t="shared" si="28"/>
        <v>1330</v>
      </c>
      <c r="J168" s="106"/>
      <c r="K168" s="127"/>
      <c r="L168" s="108"/>
      <c r="M168" s="109"/>
      <c r="N168" s="108"/>
      <c r="O168" s="108"/>
      <c r="P168" s="108"/>
      <c r="Q168" s="128"/>
      <c r="R168" s="111"/>
      <c r="S168" s="111"/>
      <c r="T168" s="112"/>
      <c r="U168" s="108"/>
      <c r="V168" s="108"/>
      <c r="W168" s="111"/>
      <c r="X168" s="52"/>
    </row>
    <row r="169" spans="1:24" x14ac:dyDescent="0.2">
      <c r="A169" s="113"/>
      <c r="B169" s="113"/>
      <c r="C169" s="113"/>
      <c r="D169" s="114">
        <v>41321</v>
      </c>
      <c r="E169" s="115" t="s">
        <v>717</v>
      </c>
      <c r="F169" s="116">
        <v>920</v>
      </c>
      <c r="G169" s="117">
        <v>11.28</v>
      </c>
      <c r="H169" s="117">
        <f>ROUND(IF($I$1="YES",(G169*(1+$I$2)),(G168*(1+$I$2))),2)</f>
        <v>11.08</v>
      </c>
      <c r="I169" s="118">
        <f t="shared" si="28"/>
        <v>10194</v>
      </c>
      <c r="J169" s="119">
        <f>SUM(I168:I169)</f>
        <v>11524</v>
      </c>
      <c r="K169" s="120" t="s">
        <v>78</v>
      </c>
      <c r="L169" s="118">
        <f>ROUND((VLOOKUP(K169,$D$2:$E$10,2,FALSE))*J169,0)</f>
        <v>2291</v>
      </c>
      <c r="M169" s="119">
        <f>ROUND(IF(K169="N",0,(J169*$I$3)),0)</f>
        <v>69</v>
      </c>
      <c r="N169" s="118">
        <f>ROUND((J169*$I$4),0)</f>
        <v>882</v>
      </c>
      <c r="O169" s="118">
        <f>ROUND(J169*$I$5,0)</f>
        <v>259</v>
      </c>
      <c r="P169" s="118">
        <f>ROUND(J169*$I$6,0)</f>
        <v>98</v>
      </c>
      <c r="Q169" s="121"/>
      <c r="R169" s="122">
        <f>ROUND(IF($Q169=0,0,((VLOOKUP($Q169,$K$3:$M$6,2,FALSE))*(1+$L$7))),0)</f>
        <v>0</v>
      </c>
      <c r="S169" s="122">
        <f>ROUND(IF($Q169=0,0,((VLOOKUP($Q169,$K$3:$M$6,3,FALSE))*(1+$M$7))),0)</f>
        <v>0</v>
      </c>
      <c r="T169" s="118">
        <f>SUM(R169,S169)</f>
        <v>0</v>
      </c>
      <c r="U169" s="118">
        <f>SUM(L169:P169,T169)</f>
        <v>3599</v>
      </c>
      <c r="V169" s="118">
        <f>SUM(U169,J169)</f>
        <v>15123</v>
      </c>
      <c r="W169" s="111"/>
      <c r="X169" s="123"/>
    </row>
    <row r="170" spans="1:24" x14ac:dyDescent="0.2">
      <c r="A170" s="100" t="s">
        <v>684</v>
      </c>
      <c r="B170" s="100" t="s">
        <v>405</v>
      </c>
      <c r="C170" s="100" t="s">
        <v>644</v>
      </c>
      <c r="D170" s="101"/>
      <c r="E170" s="102" t="s">
        <v>716</v>
      </c>
      <c r="F170" s="103">
        <v>200</v>
      </c>
      <c r="G170" s="104">
        <v>11.08</v>
      </c>
      <c r="H170" s="104">
        <v>11.08</v>
      </c>
      <c r="I170" s="126">
        <f t="shared" si="28"/>
        <v>2216</v>
      </c>
      <c r="J170" s="106"/>
      <c r="K170" s="127"/>
      <c r="L170" s="108"/>
      <c r="M170" s="109"/>
      <c r="N170" s="108"/>
      <c r="O170" s="108"/>
      <c r="P170" s="108"/>
      <c r="Q170" s="128"/>
      <c r="R170" s="111"/>
      <c r="S170" s="111"/>
      <c r="T170" s="112"/>
      <c r="U170" s="108"/>
      <c r="V170" s="108"/>
      <c r="W170" s="111"/>
      <c r="X170" s="52"/>
    </row>
    <row r="171" spans="1:24" x14ac:dyDescent="0.2">
      <c r="A171" s="113"/>
      <c r="B171" s="113"/>
      <c r="C171" s="113"/>
      <c r="D171" s="114">
        <v>41347</v>
      </c>
      <c r="E171" s="115" t="s">
        <v>717</v>
      </c>
      <c r="F171" s="116">
        <v>840</v>
      </c>
      <c r="G171" s="117">
        <v>11.28</v>
      </c>
      <c r="H171" s="117">
        <f>ROUND(IF($I$1="YES",(G171*(1+$I$2)),(G170*(1+$I$2))),2)</f>
        <v>11.08</v>
      </c>
      <c r="I171" s="118">
        <f t="shared" si="28"/>
        <v>9307</v>
      </c>
      <c r="J171" s="119">
        <f>SUM(I170:I171)</f>
        <v>11523</v>
      </c>
      <c r="K171" s="120" t="s">
        <v>104</v>
      </c>
      <c r="L171" s="118">
        <f>ROUND((VLOOKUP(K171,$D$2:$E$10,2,FALSE))*J171,0)</f>
        <v>2091</v>
      </c>
      <c r="M171" s="119">
        <f>ROUND(IF(K171="N",0,(J171*$I$3)),0)</f>
        <v>69</v>
      </c>
      <c r="N171" s="118">
        <f>ROUND((J171*$I$4),0)</f>
        <v>882</v>
      </c>
      <c r="O171" s="118">
        <f>ROUND(J171*$I$5,0)</f>
        <v>259</v>
      </c>
      <c r="P171" s="118">
        <f>ROUND(J171*$I$6,0)</f>
        <v>98</v>
      </c>
      <c r="Q171" s="121"/>
      <c r="R171" s="122">
        <f>ROUND(IF($Q171=0,0,((VLOOKUP($Q171,$K$3:$M$6,2,FALSE))*(1+$L$7))),0)</f>
        <v>0</v>
      </c>
      <c r="S171" s="122">
        <f>ROUND(IF($Q171=0,0,((VLOOKUP($Q171,$K$3:$M$6,3,FALSE))*(1+$M$7))),0)</f>
        <v>0</v>
      </c>
      <c r="T171" s="118">
        <f>SUM(R171,S171)</f>
        <v>0</v>
      </c>
      <c r="U171" s="118">
        <f>SUM(L171:P171,T171)</f>
        <v>3399</v>
      </c>
      <c r="V171" s="118">
        <f>SUM(U171,J171)</f>
        <v>14922</v>
      </c>
      <c r="W171" s="111"/>
      <c r="X171" s="123"/>
    </row>
    <row r="172" spans="1:24" x14ac:dyDescent="0.2">
      <c r="A172" s="100" t="s">
        <v>417</v>
      </c>
      <c r="B172" s="100" t="s">
        <v>405</v>
      </c>
      <c r="C172" s="100" t="s">
        <v>685</v>
      </c>
      <c r="D172" s="101"/>
      <c r="E172" s="102" t="s">
        <v>723</v>
      </c>
      <c r="F172" s="103">
        <v>480</v>
      </c>
      <c r="G172" s="104">
        <v>13.03</v>
      </c>
      <c r="H172" s="104">
        <v>11.08</v>
      </c>
      <c r="I172" s="126">
        <f t="shared" si="28"/>
        <v>5318</v>
      </c>
      <c r="J172" s="106"/>
      <c r="K172" s="127"/>
      <c r="L172" s="108"/>
      <c r="M172" s="109"/>
      <c r="N172" s="108"/>
      <c r="O172" s="108"/>
      <c r="P172" s="108"/>
      <c r="Q172" s="128"/>
      <c r="R172" s="111"/>
      <c r="S172" s="111"/>
      <c r="T172" s="112"/>
      <c r="U172" s="108"/>
      <c r="V172" s="108"/>
      <c r="W172" s="111"/>
      <c r="X172" s="52"/>
    </row>
    <row r="173" spans="1:24" x14ac:dyDescent="0.2">
      <c r="A173" s="113"/>
      <c r="B173" s="113"/>
      <c r="C173" s="113"/>
      <c r="D173" s="114">
        <v>41457</v>
      </c>
      <c r="E173" s="115" t="s">
        <v>756</v>
      </c>
      <c r="F173" s="116">
        <v>560</v>
      </c>
      <c r="G173" s="117">
        <v>14.29</v>
      </c>
      <c r="H173" s="117">
        <f>ROUND(IF($I$1="YES",(G173*(1+$I$2)),(G172*(1+$I$2))),2)</f>
        <v>13.03</v>
      </c>
      <c r="I173" s="118">
        <f t="shared" si="28"/>
        <v>7297</v>
      </c>
      <c r="J173" s="119">
        <f>SUM(I172:I173)</f>
        <v>12615</v>
      </c>
      <c r="K173" s="120" t="s">
        <v>78</v>
      </c>
      <c r="L173" s="118">
        <f>ROUND((VLOOKUP(K173,$D$2:$E$10,2,FALSE))*J173,0)</f>
        <v>2508</v>
      </c>
      <c r="M173" s="119">
        <f>ROUND(IF(K173="N",0,(J173*$I$3)),0)</f>
        <v>76</v>
      </c>
      <c r="N173" s="118">
        <f>ROUND((J173*$I$4),0)</f>
        <v>965</v>
      </c>
      <c r="O173" s="118">
        <f>ROUND(J173*$I$5,0)</f>
        <v>284</v>
      </c>
      <c r="P173" s="118">
        <f>ROUND(J173*$I$6,0)</f>
        <v>107</v>
      </c>
      <c r="Q173" s="121"/>
      <c r="R173" s="122">
        <f>ROUND(IF($Q173=0,0,((VLOOKUP($Q173,$K$3:$M$6,2,FALSE))*(1+$L$7))),0)</f>
        <v>0</v>
      </c>
      <c r="S173" s="122">
        <f>ROUND(IF($Q173=0,0,((VLOOKUP($Q173,$K$3:$M$6,3,FALSE))*(1+$M$7))),0)</f>
        <v>0</v>
      </c>
      <c r="T173" s="118">
        <f>SUM(R173,S173)</f>
        <v>0</v>
      </c>
      <c r="U173" s="118">
        <f>SUM(L173:P173,T173)</f>
        <v>3940</v>
      </c>
      <c r="V173" s="118">
        <f>SUM(U173,J173)</f>
        <v>16555</v>
      </c>
      <c r="W173" s="111"/>
      <c r="X173" s="123"/>
    </row>
    <row r="174" spans="1:24" x14ac:dyDescent="0.2">
      <c r="A174" s="100" t="s">
        <v>418</v>
      </c>
      <c r="B174" s="100" t="s">
        <v>405</v>
      </c>
      <c r="C174" s="100" t="s">
        <v>419</v>
      </c>
      <c r="D174" s="101"/>
      <c r="E174" s="102" t="s">
        <v>717</v>
      </c>
      <c r="F174" s="103">
        <v>376</v>
      </c>
      <c r="G174" s="104">
        <v>11.28</v>
      </c>
      <c r="H174" s="104">
        <v>11.08</v>
      </c>
      <c r="I174" s="126">
        <f t="shared" si="28"/>
        <v>4166</v>
      </c>
      <c r="J174" s="106"/>
      <c r="K174" s="127"/>
      <c r="L174" s="108"/>
      <c r="M174" s="109"/>
      <c r="N174" s="108"/>
      <c r="O174" s="108"/>
      <c r="P174" s="108"/>
      <c r="Q174" s="128"/>
      <c r="R174" s="111"/>
      <c r="S174" s="111"/>
      <c r="T174" s="112"/>
      <c r="U174" s="108"/>
      <c r="V174" s="108"/>
      <c r="W174" s="111"/>
      <c r="X174" s="52"/>
    </row>
    <row r="175" spans="1:24" x14ac:dyDescent="0.2">
      <c r="A175" s="113"/>
      <c r="B175" s="113"/>
      <c r="C175" s="113"/>
      <c r="D175" s="114">
        <v>41404</v>
      </c>
      <c r="E175" s="115" t="s">
        <v>718</v>
      </c>
      <c r="F175" s="116">
        <v>664</v>
      </c>
      <c r="G175" s="117">
        <v>11.42</v>
      </c>
      <c r="H175" s="117">
        <f>ROUND(IF($I$1="YES",(G175*(1+$I$2)),(G174*(1+$I$2))),2)</f>
        <v>11.28</v>
      </c>
      <c r="I175" s="118">
        <f t="shared" si="28"/>
        <v>7490</v>
      </c>
      <c r="J175" s="119">
        <f>SUM(I174:I175)</f>
        <v>11656</v>
      </c>
      <c r="K175" s="120" t="s">
        <v>104</v>
      </c>
      <c r="L175" s="118">
        <f>ROUND((VLOOKUP(K175,$D$2:$E$10,2,FALSE))*J175,0)</f>
        <v>2116</v>
      </c>
      <c r="M175" s="119">
        <f>ROUND(IF(K175="N",0,(J175*$I$3)),0)</f>
        <v>70</v>
      </c>
      <c r="N175" s="118">
        <f>ROUND((J175*$I$4),0)</f>
        <v>892</v>
      </c>
      <c r="O175" s="118">
        <f>ROUND(J175*$I$5,0)</f>
        <v>262</v>
      </c>
      <c r="P175" s="118">
        <f>ROUND(J175*$I$6,0)</f>
        <v>99</v>
      </c>
      <c r="Q175" s="121"/>
      <c r="R175" s="122">
        <f>ROUND(IF($Q175=0,0,((VLOOKUP($Q175,$K$3:$M$6,2,FALSE))*(1+$L$7))),0)</f>
        <v>0</v>
      </c>
      <c r="S175" s="122">
        <f>ROUND(IF($Q175=0,0,((VLOOKUP($Q175,$K$3:$M$6,3,FALSE))*(1+$M$7))),0)</f>
        <v>0</v>
      </c>
      <c r="T175" s="118">
        <f>SUM(R175,S175)</f>
        <v>0</v>
      </c>
      <c r="U175" s="118">
        <f>SUM(L175:P175,T175)</f>
        <v>3439</v>
      </c>
      <c r="V175" s="118">
        <f>SUM(U175,J175)</f>
        <v>15095</v>
      </c>
      <c r="W175" s="111"/>
      <c r="X175" s="123"/>
    </row>
    <row r="176" spans="1:24" x14ac:dyDescent="0.2">
      <c r="A176" s="100" t="s">
        <v>421</v>
      </c>
      <c r="B176" s="100" t="s">
        <v>405</v>
      </c>
      <c r="C176" s="100" t="s">
        <v>686</v>
      </c>
      <c r="D176" s="101"/>
      <c r="E176" s="102" t="s">
        <v>717</v>
      </c>
      <c r="F176" s="103">
        <v>1008</v>
      </c>
      <c r="G176" s="104">
        <v>11.28</v>
      </c>
      <c r="H176" s="104">
        <v>11.08</v>
      </c>
      <c r="I176" s="126">
        <f t="shared" si="28"/>
        <v>11169</v>
      </c>
      <c r="J176" s="106"/>
      <c r="K176" s="127"/>
      <c r="L176" s="108"/>
      <c r="M176" s="109"/>
      <c r="N176" s="108"/>
      <c r="O176" s="108"/>
      <c r="P176" s="108"/>
      <c r="Q176" s="128"/>
      <c r="R176" s="111"/>
      <c r="S176" s="111"/>
      <c r="T176" s="112"/>
      <c r="U176" s="108"/>
      <c r="V176" s="108"/>
      <c r="W176" s="111"/>
      <c r="X176" s="52"/>
    </row>
    <row r="177" spans="1:24" x14ac:dyDescent="0.2">
      <c r="A177" s="113"/>
      <c r="B177" s="113"/>
      <c r="C177" s="113"/>
      <c r="D177" s="114">
        <v>41629</v>
      </c>
      <c r="E177" s="115" t="s">
        <v>718</v>
      </c>
      <c r="F177" s="116">
        <v>32</v>
      </c>
      <c r="G177" s="117">
        <v>11.42</v>
      </c>
      <c r="H177" s="117">
        <f>ROUND(IF($I$1="YES",(G177*(1+$I$2)),(G176*(1+$I$2))),2)</f>
        <v>11.28</v>
      </c>
      <c r="I177" s="118">
        <f t="shared" si="28"/>
        <v>361</v>
      </c>
      <c r="J177" s="119">
        <f>SUM(I176:I177)</f>
        <v>11530</v>
      </c>
      <c r="K177" s="120" t="s">
        <v>104</v>
      </c>
      <c r="L177" s="118">
        <f>ROUND((VLOOKUP(K177,$D$2:$E$10,2,FALSE))*J177,0)</f>
        <v>2093</v>
      </c>
      <c r="M177" s="119">
        <f>ROUND(IF(K177="N",0,(J177*$I$3)),0)</f>
        <v>69</v>
      </c>
      <c r="N177" s="118">
        <f>ROUND((J177*$I$4),0)</f>
        <v>882</v>
      </c>
      <c r="O177" s="118">
        <f>ROUND(J177*$I$5,0)</f>
        <v>259</v>
      </c>
      <c r="P177" s="118">
        <f>ROUND(J177*$I$6,0)</f>
        <v>98</v>
      </c>
      <c r="Q177" s="121"/>
      <c r="R177" s="122">
        <f>ROUND(IF($Q177=0,0,((VLOOKUP($Q177,$K$3:$M$6,2,FALSE))*(1+$L$7))),0)</f>
        <v>0</v>
      </c>
      <c r="S177" s="122">
        <f>ROUND(IF($Q177=0,0,((VLOOKUP($Q177,$K$3:$M$6,3,FALSE))*(1+$M$7))),0)</f>
        <v>0</v>
      </c>
      <c r="T177" s="118">
        <f>SUM(R177,S177)</f>
        <v>0</v>
      </c>
      <c r="U177" s="118">
        <f>SUM(L177:P177,T177)</f>
        <v>3401</v>
      </c>
      <c r="V177" s="118">
        <f>SUM(U177,J177)</f>
        <v>14931</v>
      </c>
      <c r="W177" s="111"/>
      <c r="X177" s="123"/>
    </row>
    <row r="178" spans="1:24" x14ac:dyDescent="0.2">
      <c r="A178" s="100" t="s">
        <v>422</v>
      </c>
      <c r="B178" s="100" t="s">
        <v>405</v>
      </c>
      <c r="C178" s="100" t="s">
        <v>423</v>
      </c>
      <c r="D178" s="101"/>
      <c r="E178" s="102" t="s">
        <v>717</v>
      </c>
      <c r="F178" s="103">
        <v>884</v>
      </c>
      <c r="G178" s="104">
        <v>11.28</v>
      </c>
      <c r="H178" s="104">
        <v>11.08</v>
      </c>
      <c r="I178" s="126">
        <f t="shared" si="28"/>
        <v>9795</v>
      </c>
      <c r="J178" s="106"/>
      <c r="K178" s="127"/>
      <c r="L178" s="108"/>
      <c r="M178" s="109"/>
      <c r="N178" s="108"/>
      <c r="O178" s="108"/>
      <c r="P178" s="108"/>
      <c r="Q178" s="128"/>
      <c r="R178" s="111"/>
      <c r="S178" s="111"/>
      <c r="T178" s="112"/>
      <c r="U178" s="108"/>
      <c r="V178" s="108"/>
      <c r="W178" s="111"/>
      <c r="X178" s="52"/>
    </row>
    <row r="179" spans="1:24" x14ac:dyDescent="0.2">
      <c r="A179" s="113"/>
      <c r="B179" s="113"/>
      <c r="C179" s="113"/>
      <c r="D179" s="114">
        <v>41588</v>
      </c>
      <c r="E179" s="115" t="s">
        <v>718</v>
      </c>
      <c r="F179" s="116">
        <v>156</v>
      </c>
      <c r="G179" s="117">
        <v>11.42</v>
      </c>
      <c r="H179" s="117">
        <f>ROUND(IF($I$1="YES",(G179*(1+$I$2)),(G178*(1+$I$2))),2)</f>
        <v>11.28</v>
      </c>
      <c r="I179" s="118">
        <f t="shared" si="28"/>
        <v>1760</v>
      </c>
      <c r="J179" s="119">
        <f>SUM(I178:I179)</f>
        <v>11555</v>
      </c>
      <c r="K179" s="120" t="s">
        <v>78</v>
      </c>
      <c r="L179" s="118">
        <f>ROUND((VLOOKUP(K179,$D$2:$E$10,2,FALSE))*J179,0)</f>
        <v>2297</v>
      </c>
      <c r="M179" s="119">
        <f>ROUND(IF(K179="N",0,(J179*$I$3)),0)</f>
        <v>69</v>
      </c>
      <c r="N179" s="118">
        <f>ROUND((J179*$I$4),0)</f>
        <v>884</v>
      </c>
      <c r="O179" s="118">
        <f>ROUND(J179*$I$5,0)</f>
        <v>260</v>
      </c>
      <c r="P179" s="118">
        <f>ROUND(J179*$I$6,0)</f>
        <v>98</v>
      </c>
      <c r="Q179" s="121"/>
      <c r="R179" s="122">
        <f>ROUND(IF($Q179=0,0,((VLOOKUP($Q179,$K$3:$M$6,2,FALSE))*(1+$L$7))),0)</f>
        <v>0</v>
      </c>
      <c r="S179" s="122">
        <f>ROUND(IF($Q179=0,0,((VLOOKUP($Q179,$K$3:$M$6,3,FALSE))*(1+$M$7))),0)</f>
        <v>0</v>
      </c>
      <c r="T179" s="118">
        <f>SUM(R179,S179)</f>
        <v>0</v>
      </c>
      <c r="U179" s="118">
        <f>SUM(L179:P179,T179)</f>
        <v>3608</v>
      </c>
      <c r="V179" s="118">
        <f>SUM(U179,J179)</f>
        <v>15163</v>
      </c>
      <c r="W179" s="111"/>
      <c r="X179" s="123"/>
    </row>
    <row r="180" spans="1:24" x14ac:dyDescent="0.2">
      <c r="A180" s="40" t="s">
        <v>424</v>
      </c>
      <c r="B180" s="100" t="s">
        <v>405</v>
      </c>
      <c r="C180" s="100" t="s">
        <v>425</v>
      </c>
      <c r="D180" s="124"/>
      <c r="E180" s="102" t="s">
        <v>718</v>
      </c>
      <c r="F180" s="103">
        <v>120</v>
      </c>
      <c r="G180" s="104">
        <v>11.42</v>
      </c>
      <c r="H180" s="104">
        <f>ROUND((G180*(1+$I$2)),2)</f>
        <v>11.42</v>
      </c>
      <c r="I180" s="126">
        <f t="shared" si="1"/>
        <v>1370</v>
      </c>
      <c r="J180" s="106"/>
      <c r="K180" s="127"/>
      <c r="L180" s="108"/>
      <c r="M180" s="109"/>
      <c r="N180" s="108"/>
      <c r="O180" s="108"/>
      <c r="P180" s="108"/>
      <c r="Q180" s="128"/>
      <c r="R180" s="111"/>
      <c r="S180" s="111"/>
      <c r="T180" s="112"/>
      <c r="U180" s="108"/>
      <c r="V180" s="108"/>
      <c r="W180" s="111"/>
      <c r="X180" s="52"/>
    </row>
    <row r="181" spans="1:24" x14ac:dyDescent="0.2">
      <c r="A181" s="113"/>
      <c r="B181" s="113"/>
      <c r="C181" s="113"/>
      <c r="D181" s="114" t="s">
        <v>360</v>
      </c>
      <c r="E181" s="115" t="s">
        <v>719</v>
      </c>
      <c r="F181" s="116">
        <v>920</v>
      </c>
      <c r="G181" s="117">
        <v>11.8</v>
      </c>
      <c r="H181" s="117">
        <f>ROUND(IF($I$1="YES",(G181*(1+$I$2)),(G180*(1+$I$2))),2)</f>
        <v>11.42</v>
      </c>
      <c r="I181" s="129">
        <f t="shared" si="1"/>
        <v>10506</v>
      </c>
      <c r="J181" s="119">
        <f>SUM(I180:I181)</f>
        <v>11876</v>
      </c>
      <c r="K181" s="120" t="s">
        <v>78</v>
      </c>
      <c r="L181" s="118">
        <f>ROUND((VLOOKUP(K181,$D$2:$E$10,2,FALSE))*J181,0)</f>
        <v>2361</v>
      </c>
      <c r="M181" s="119">
        <f>ROUND(IF(K181="N",0,(J181*$I$3)),0)</f>
        <v>71</v>
      </c>
      <c r="N181" s="118">
        <f>ROUND((J181*$I$4),0)</f>
        <v>909</v>
      </c>
      <c r="O181" s="118">
        <f>ROUND(J181*$I$5,0)</f>
        <v>267</v>
      </c>
      <c r="P181" s="118">
        <f>ROUND(J181*$I$6,0)</f>
        <v>101</v>
      </c>
      <c r="Q181" s="121">
        <v>0</v>
      </c>
      <c r="R181" s="122">
        <f>ROUND(IF($Q181=0,0,((VLOOKUP($Q181,$K$3:$M$6,2,FALSE))*(1+$L$7))),0)</f>
        <v>0</v>
      </c>
      <c r="S181" s="122">
        <f>ROUND(IF($Q181=0,0,((VLOOKUP($Q181,$K$3:$M$6,3,FALSE))*(1+$M$7))),0)</f>
        <v>0</v>
      </c>
      <c r="T181" s="118">
        <f>SUM(R181,S181)</f>
        <v>0</v>
      </c>
      <c r="U181" s="118">
        <f>SUM(L181:P181,T181)</f>
        <v>3709</v>
      </c>
      <c r="V181" s="118">
        <f>SUM(U181,J181)</f>
        <v>15585</v>
      </c>
      <c r="W181" s="111"/>
      <c r="X181" s="123"/>
    </row>
    <row r="182" spans="1:24" x14ac:dyDescent="0.2">
      <c r="A182" s="100" t="s">
        <v>426</v>
      </c>
      <c r="B182" s="100" t="s">
        <v>405</v>
      </c>
      <c r="C182" s="100" t="s">
        <v>427</v>
      </c>
      <c r="D182" s="124"/>
      <c r="E182" s="102" t="s">
        <v>754</v>
      </c>
      <c r="F182" s="103">
        <v>728</v>
      </c>
      <c r="G182" s="104">
        <v>12.14</v>
      </c>
      <c r="H182" s="104">
        <f>ROUND((G182*(1+$I$2)),2)</f>
        <v>12.14</v>
      </c>
      <c r="I182" s="126">
        <f t="shared" si="1"/>
        <v>8838</v>
      </c>
      <c r="J182" s="106"/>
      <c r="K182" s="127"/>
      <c r="L182" s="108"/>
      <c r="M182" s="109"/>
      <c r="N182" s="108"/>
      <c r="O182" s="108"/>
      <c r="P182" s="108"/>
      <c r="Q182" s="128"/>
      <c r="R182" s="111"/>
      <c r="S182" s="111"/>
      <c r="T182" s="112"/>
      <c r="U182" s="108"/>
      <c r="V182" s="108"/>
      <c r="W182" s="111"/>
      <c r="X182" s="52"/>
    </row>
    <row r="183" spans="1:24" x14ac:dyDescent="0.2">
      <c r="A183" s="113"/>
      <c r="B183" s="113"/>
      <c r="C183" s="113"/>
      <c r="D183" s="114" t="s">
        <v>413</v>
      </c>
      <c r="E183" s="115" t="s">
        <v>755</v>
      </c>
      <c r="F183" s="116">
        <v>312</v>
      </c>
      <c r="G183" s="117">
        <v>12.53</v>
      </c>
      <c r="H183" s="117">
        <f>ROUND(IF($I$1="YES",(G183*(1+$I$2)),(G182*(1+$I$2))),2)</f>
        <v>12.14</v>
      </c>
      <c r="I183" s="129">
        <f t="shared" si="1"/>
        <v>3788</v>
      </c>
      <c r="J183" s="119">
        <f>SUM(I182:I183)</f>
        <v>12626</v>
      </c>
      <c r="K183" s="120" t="s">
        <v>78</v>
      </c>
      <c r="L183" s="118">
        <f>ROUND((VLOOKUP(K183,$D$2:$E$10,2,FALSE))*J183,0)</f>
        <v>2510</v>
      </c>
      <c r="M183" s="119">
        <f>ROUND(IF(K183="N",0,(J183*$I$3)),0)</f>
        <v>76</v>
      </c>
      <c r="N183" s="118">
        <f>ROUND((J183*$I$4),0)</f>
        <v>966</v>
      </c>
      <c r="O183" s="118">
        <f>ROUND(J183*$I$5,0)</f>
        <v>284</v>
      </c>
      <c r="P183" s="118">
        <f>ROUND(J183*$I$6,0)</f>
        <v>107</v>
      </c>
      <c r="Q183" s="121">
        <v>0</v>
      </c>
      <c r="R183" s="122">
        <f>ROUND(IF($Q183=0,0,((VLOOKUP($Q183,$K$3:$M$6,2,FALSE))*(1+$L$7))),0)</f>
        <v>0</v>
      </c>
      <c r="S183" s="122">
        <f>ROUND(IF($Q183=0,0,((VLOOKUP($Q183,$K$3:$M$6,3,FALSE))*(1+$M$7))),0)</f>
        <v>0</v>
      </c>
      <c r="T183" s="118">
        <f>SUM(R183,S183)</f>
        <v>0</v>
      </c>
      <c r="U183" s="118">
        <f>SUM(L183:P183,T183)</f>
        <v>3943</v>
      </c>
      <c r="V183" s="118">
        <f>SUM(U183,J183)</f>
        <v>16569</v>
      </c>
      <c r="W183" s="111"/>
      <c r="X183" s="123"/>
    </row>
    <row r="184" spans="1:24" x14ac:dyDescent="0.2">
      <c r="A184" s="100" t="s">
        <v>687</v>
      </c>
      <c r="B184" s="100" t="s">
        <v>405</v>
      </c>
      <c r="C184" s="100" t="s">
        <v>644</v>
      </c>
      <c r="D184" s="124"/>
      <c r="E184" s="102" t="s">
        <v>716</v>
      </c>
      <c r="F184" s="103">
        <v>200</v>
      </c>
      <c r="G184" s="104">
        <v>11.08</v>
      </c>
      <c r="H184" s="104">
        <f>ROUND((G184*(1+$I$2)),2)</f>
        <v>11.08</v>
      </c>
      <c r="I184" s="126">
        <f t="shared" ref="I184:I185" si="29">ROUND((H184*F184),0)</f>
        <v>2216</v>
      </c>
      <c r="J184" s="106"/>
      <c r="K184" s="127"/>
      <c r="L184" s="108"/>
      <c r="M184" s="109"/>
      <c r="N184" s="108"/>
      <c r="O184" s="108"/>
      <c r="P184" s="108"/>
      <c r="Q184" s="128"/>
      <c r="R184" s="111"/>
      <c r="S184" s="111"/>
      <c r="T184" s="112"/>
      <c r="U184" s="108"/>
      <c r="V184" s="108"/>
      <c r="W184" s="111"/>
      <c r="X184" s="52"/>
    </row>
    <row r="185" spans="1:24" x14ac:dyDescent="0.2">
      <c r="A185" s="113"/>
      <c r="B185" s="113"/>
      <c r="C185" s="113"/>
      <c r="D185" s="114">
        <v>41346</v>
      </c>
      <c r="E185" s="115" t="s">
        <v>717</v>
      </c>
      <c r="F185" s="116">
        <v>840</v>
      </c>
      <c r="G185" s="117">
        <v>11.28</v>
      </c>
      <c r="H185" s="117">
        <f>ROUND(IF($I$1="YES",(G185*(1+$I$2)),(G184*(1+$I$2))),2)</f>
        <v>11.08</v>
      </c>
      <c r="I185" s="129">
        <f t="shared" si="29"/>
        <v>9307</v>
      </c>
      <c r="J185" s="119">
        <f>SUM(I184:I185)</f>
        <v>11523</v>
      </c>
      <c r="K185" s="120" t="s">
        <v>104</v>
      </c>
      <c r="L185" s="118">
        <f>ROUND((VLOOKUP(K185,$D$2:$E$10,2,FALSE))*J185,0)</f>
        <v>2091</v>
      </c>
      <c r="M185" s="119">
        <f>ROUND(IF(K185="N",0,(J185*$I$3)),0)</f>
        <v>69</v>
      </c>
      <c r="N185" s="118">
        <f>ROUND((J185*$I$4),0)</f>
        <v>882</v>
      </c>
      <c r="O185" s="118">
        <f>ROUND(J185*$I$5,0)</f>
        <v>259</v>
      </c>
      <c r="P185" s="118">
        <f>ROUND(J185*$I$6,0)</f>
        <v>98</v>
      </c>
      <c r="Q185" s="121">
        <v>0</v>
      </c>
      <c r="R185" s="122">
        <f>ROUND(IF($Q185=0,0,((VLOOKUP($Q185,$K$3:$M$6,2,FALSE))*(1+$L$7))),0)</f>
        <v>0</v>
      </c>
      <c r="S185" s="122">
        <f>ROUND(IF($Q185=0,0,((VLOOKUP($Q185,$K$3:$M$6,3,FALSE))*(1+$M$7))),0)</f>
        <v>0</v>
      </c>
      <c r="T185" s="118">
        <f>SUM(R185,S185)</f>
        <v>0</v>
      </c>
      <c r="U185" s="118">
        <f>SUM(L185:P185,T185)</f>
        <v>3399</v>
      </c>
      <c r="V185" s="118">
        <f>SUM(U185,J185)</f>
        <v>14922</v>
      </c>
      <c r="W185" s="111"/>
      <c r="X185" s="123"/>
    </row>
    <row r="186" spans="1:24" x14ac:dyDescent="0.2">
      <c r="A186" s="100" t="s">
        <v>428</v>
      </c>
      <c r="B186" s="100" t="s">
        <v>405</v>
      </c>
      <c r="C186" s="100" t="s">
        <v>429</v>
      </c>
      <c r="D186" s="101"/>
      <c r="E186" s="102" t="s">
        <v>753</v>
      </c>
      <c r="F186" s="103">
        <v>320</v>
      </c>
      <c r="G186" s="104">
        <v>14.14</v>
      </c>
      <c r="H186" s="104">
        <f>ROUND((G186*(1+$I$2)),2)</f>
        <v>14.14</v>
      </c>
      <c r="I186" s="126">
        <f>ROUND((H186*F186),0)</f>
        <v>4525</v>
      </c>
      <c r="J186" s="106"/>
      <c r="K186" s="127"/>
      <c r="L186" s="108"/>
      <c r="M186" s="109"/>
      <c r="N186" s="108"/>
      <c r="O186" s="108"/>
      <c r="P186" s="108"/>
      <c r="Q186" s="128"/>
      <c r="R186" s="111"/>
      <c r="S186" s="111"/>
      <c r="T186" s="112"/>
      <c r="U186" s="108"/>
      <c r="V186" s="108"/>
      <c r="W186" s="111"/>
      <c r="X186" s="52"/>
    </row>
    <row r="187" spans="1:24" x14ac:dyDescent="0.2">
      <c r="A187" s="113"/>
      <c r="B187" s="113"/>
      <c r="C187" s="113"/>
      <c r="D187" s="114" t="s">
        <v>430</v>
      </c>
      <c r="E187" s="115" t="s">
        <v>757</v>
      </c>
      <c r="F187" s="116">
        <v>1760</v>
      </c>
      <c r="G187" s="117">
        <v>14.42</v>
      </c>
      <c r="H187" s="117">
        <f>ROUND(IF($I$1="YES",(G187*(1+$I$2)),(G186*(1+$I$2))),2)</f>
        <v>14.14</v>
      </c>
      <c r="I187" s="118">
        <f>ROUND((H187*F187),0)</f>
        <v>24886</v>
      </c>
      <c r="J187" s="119">
        <f>SUM(I186:I187)</f>
        <v>29411</v>
      </c>
      <c r="K187" s="120" t="s">
        <v>78</v>
      </c>
      <c r="L187" s="118">
        <f>ROUND((VLOOKUP(K187,$D$2:$E$10,2,FALSE))*J187,0)</f>
        <v>5847</v>
      </c>
      <c r="M187" s="119">
        <f>ROUND(IF(K187="N",0,(J187*$I$3)),0)</f>
        <v>176</v>
      </c>
      <c r="N187" s="118">
        <f>ROUND((J187*$I$4),0)</f>
        <v>2250</v>
      </c>
      <c r="O187" s="118">
        <f>ROUND(J187*$I$5,0)</f>
        <v>662</v>
      </c>
      <c r="P187" s="118">
        <f>ROUND(J187*$I$6,0)</f>
        <v>250</v>
      </c>
      <c r="Q187" s="121">
        <v>2</v>
      </c>
      <c r="R187" s="122">
        <f>ROUND(IF($Q187=0,0,((VLOOKUP($Q187,$K$3:$M$6,2,FALSE))*(1+$L$7))),0)</f>
        <v>9458</v>
      </c>
      <c r="S187" s="122">
        <f>ROUND(IF($Q187=0,0,((VLOOKUP($Q187,$K$3:$M$6,3,FALSE))*(1+$M$7))),0)</f>
        <v>625</v>
      </c>
      <c r="T187" s="118">
        <f>SUM(R187,S187)</f>
        <v>10083</v>
      </c>
      <c r="U187" s="118">
        <f>SUM(L187:P187,T187)</f>
        <v>19268</v>
      </c>
      <c r="V187" s="118">
        <f>SUM(U187,J187)</f>
        <v>48679</v>
      </c>
      <c r="W187" s="111"/>
      <c r="X187" s="123"/>
    </row>
    <row r="188" spans="1:24" x14ac:dyDescent="0.2">
      <c r="A188" s="40" t="s">
        <v>431</v>
      </c>
      <c r="B188" s="100" t="s">
        <v>405</v>
      </c>
      <c r="C188" s="100" t="s">
        <v>432</v>
      </c>
      <c r="D188" s="124"/>
      <c r="E188" s="125" t="s">
        <v>717</v>
      </c>
      <c r="F188" s="103">
        <v>1004</v>
      </c>
      <c r="G188" s="104">
        <v>11.28</v>
      </c>
      <c r="H188" s="104">
        <f>ROUND((G188*(1+$I$2)),2)</f>
        <v>11.28</v>
      </c>
      <c r="I188" s="126">
        <f t="shared" ref="I188:I193" si="30">ROUND((H188*F188),0)</f>
        <v>11325</v>
      </c>
      <c r="J188" s="106"/>
      <c r="K188" s="127"/>
      <c r="L188" s="108"/>
      <c r="M188" s="109"/>
      <c r="N188" s="108"/>
      <c r="O188" s="108"/>
      <c r="P188" s="108"/>
      <c r="Q188" s="128"/>
      <c r="R188" s="111"/>
      <c r="S188" s="111"/>
      <c r="T188" s="112"/>
      <c r="U188" s="108"/>
      <c r="V188" s="108"/>
      <c r="W188" s="111"/>
      <c r="X188" s="52"/>
    </row>
    <row r="189" spans="1:24" x14ac:dyDescent="0.2">
      <c r="A189" s="113"/>
      <c r="B189" s="113"/>
      <c r="C189" s="113"/>
      <c r="D189" s="114">
        <v>41629</v>
      </c>
      <c r="E189" s="115" t="s">
        <v>718</v>
      </c>
      <c r="F189" s="116">
        <v>36</v>
      </c>
      <c r="G189" s="117">
        <v>11.42</v>
      </c>
      <c r="H189" s="117">
        <f>ROUND(IF($I$1="YES",(G189*(1+$I$2)),(G188*(1+$I$2))),2)</f>
        <v>11.28</v>
      </c>
      <c r="I189" s="129">
        <f t="shared" si="30"/>
        <v>406</v>
      </c>
      <c r="J189" s="119">
        <f>SUM(I188:I189)</f>
        <v>11731</v>
      </c>
      <c r="K189" s="120" t="s">
        <v>104</v>
      </c>
      <c r="L189" s="118">
        <f>ROUND((VLOOKUP(K189,$D$2:$E$10,2,FALSE))*J189,0)</f>
        <v>2129</v>
      </c>
      <c r="M189" s="119">
        <f>ROUND(IF(K189="N",0,(J189*$I$3)),0)</f>
        <v>70</v>
      </c>
      <c r="N189" s="118">
        <f>ROUND((J189*$I$4),0)</f>
        <v>897</v>
      </c>
      <c r="O189" s="118">
        <f>ROUND(J189*$I$5,0)</f>
        <v>264</v>
      </c>
      <c r="P189" s="118">
        <f>ROUND(J189*$I$6,0)</f>
        <v>100</v>
      </c>
      <c r="Q189" s="121">
        <v>0</v>
      </c>
      <c r="R189" s="122">
        <f>ROUND(IF($Q189=0,0,((VLOOKUP($Q189,$K$3:$M$6,2,FALSE))*(1+$L$7))),0)</f>
        <v>0</v>
      </c>
      <c r="S189" s="122">
        <f>ROUND(IF($Q189=0,0,((VLOOKUP($Q189,$K$3:$M$6,3,FALSE))*(1+$M$7))),0)</f>
        <v>0</v>
      </c>
      <c r="T189" s="118">
        <f>SUM(R189,S189)</f>
        <v>0</v>
      </c>
      <c r="U189" s="118">
        <f>SUM(L189:P189,T189)</f>
        <v>3460</v>
      </c>
      <c r="V189" s="118">
        <f>SUM(U189,J189)</f>
        <v>15191</v>
      </c>
      <c r="W189" s="111"/>
      <c r="X189" s="123"/>
    </row>
    <row r="190" spans="1:24" x14ac:dyDescent="0.2">
      <c r="A190" s="40" t="s">
        <v>433</v>
      </c>
      <c r="B190" s="100" t="s">
        <v>405</v>
      </c>
      <c r="C190" s="100" t="s">
        <v>434</v>
      </c>
      <c r="D190" s="124"/>
      <c r="E190" s="102" t="s">
        <v>718</v>
      </c>
      <c r="F190" s="103">
        <v>1004</v>
      </c>
      <c r="G190" s="104">
        <v>11.42</v>
      </c>
      <c r="H190" s="104">
        <f>ROUND((G190*(1+$I$2)),2)</f>
        <v>11.42</v>
      </c>
      <c r="I190" s="126">
        <f t="shared" si="30"/>
        <v>11466</v>
      </c>
      <c r="J190" s="106"/>
      <c r="K190" s="127"/>
      <c r="L190" s="108"/>
      <c r="M190" s="109"/>
      <c r="N190" s="108"/>
      <c r="O190" s="108"/>
      <c r="P190" s="108"/>
      <c r="Q190" s="128"/>
      <c r="R190" s="111"/>
      <c r="S190" s="111"/>
      <c r="T190" s="112"/>
      <c r="U190" s="108"/>
      <c r="V190" s="108"/>
      <c r="W190" s="111"/>
      <c r="X190" s="52"/>
    </row>
    <row r="191" spans="1:24" x14ac:dyDescent="0.2">
      <c r="A191" s="113"/>
      <c r="B191" s="113"/>
      <c r="C191" s="113"/>
      <c r="D191" s="114" t="s">
        <v>335</v>
      </c>
      <c r="E191" s="115" t="s">
        <v>719</v>
      </c>
      <c r="F191" s="116">
        <v>36</v>
      </c>
      <c r="G191" s="117">
        <v>11.8</v>
      </c>
      <c r="H191" s="117">
        <f>ROUND(IF($I$1="YES",(G191*(1+$I$2)),(G190*(1+$I$2))),2)</f>
        <v>11.42</v>
      </c>
      <c r="I191" s="129">
        <f t="shared" si="30"/>
        <v>411</v>
      </c>
      <c r="J191" s="119">
        <f>SUM(I190:I191)</f>
        <v>11877</v>
      </c>
      <c r="K191" s="120" t="s">
        <v>104</v>
      </c>
      <c r="L191" s="118">
        <f>ROUND((VLOOKUP(K191,$D$2:$E$10,2,FALSE))*J191,0)</f>
        <v>2156</v>
      </c>
      <c r="M191" s="119">
        <f>ROUND(IF(K191="N",0,(J191*$I$3)),0)</f>
        <v>71</v>
      </c>
      <c r="N191" s="118">
        <f>ROUND((J191*$I$4),0)</f>
        <v>909</v>
      </c>
      <c r="O191" s="118">
        <f>ROUND(J191*$I$5,0)</f>
        <v>267</v>
      </c>
      <c r="P191" s="118">
        <f>ROUND(J191*$I$6,0)</f>
        <v>101</v>
      </c>
      <c r="Q191" s="121">
        <v>0</v>
      </c>
      <c r="R191" s="122">
        <f>ROUND(IF($Q191=0,0,((VLOOKUP($Q191,$K$3:$M$6,2,FALSE))*(1+$L$7))),0)</f>
        <v>0</v>
      </c>
      <c r="S191" s="122">
        <f>ROUND(IF($Q191=0,0,((VLOOKUP($Q191,$K$3:$M$6,3,FALSE))*(1+$M$7))),0)</f>
        <v>0</v>
      </c>
      <c r="T191" s="118">
        <f>SUM(R191,S191)</f>
        <v>0</v>
      </c>
      <c r="U191" s="118">
        <f>SUM(L191:P191,T191)</f>
        <v>3504</v>
      </c>
      <c r="V191" s="118">
        <f>SUM(U191,J191)</f>
        <v>15381</v>
      </c>
      <c r="W191" s="111"/>
      <c r="X191" s="123"/>
    </row>
    <row r="192" spans="1:24" x14ac:dyDescent="0.2">
      <c r="A192" s="100" t="s">
        <v>435</v>
      </c>
      <c r="B192" s="100" t="s">
        <v>405</v>
      </c>
      <c r="C192" s="100" t="s">
        <v>436</v>
      </c>
      <c r="D192" s="124"/>
      <c r="E192" s="102" t="s">
        <v>719</v>
      </c>
      <c r="F192" s="103">
        <v>1056</v>
      </c>
      <c r="G192" s="104">
        <v>11.8</v>
      </c>
      <c r="H192" s="104">
        <f>ROUND((G192*(1+$I$2)),2)</f>
        <v>11.8</v>
      </c>
      <c r="I192" s="126">
        <f t="shared" si="30"/>
        <v>12461</v>
      </c>
      <c r="J192" s="106"/>
      <c r="K192" s="127"/>
      <c r="L192" s="108"/>
      <c r="M192" s="109"/>
      <c r="N192" s="108"/>
      <c r="O192" s="108"/>
      <c r="P192" s="108"/>
      <c r="Q192" s="128"/>
      <c r="R192" s="111"/>
      <c r="S192" s="111"/>
      <c r="T192" s="112"/>
      <c r="U192" s="108"/>
      <c r="V192" s="108"/>
      <c r="W192" s="111"/>
      <c r="X192" s="52"/>
    </row>
    <row r="193" spans="1:24" x14ac:dyDescent="0.2">
      <c r="A193" s="113"/>
      <c r="B193" s="113"/>
      <c r="C193" s="113"/>
      <c r="D193" s="114" t="s">
        <v>437</v>
      </c>
      <c r="E193" s="115" t="s">
        <v>754</v>
      </c>
      <c r="F193" s="116">
        <v>1024</v>
      </c>
      <c r="G193" s="117">
        <v>12.14</v>
      </c>
      <c r="H193" s="117">
        <f>ROUND(IF($I$1="YES",(G193*(1+$I$2)),(G192*(1+$I$2))),2)</f>
        <v>11.8</v>
      </c>
      <c r="I193" s="129">
        <f t="shared" si="30"/>
        <v>12083</v>
      </c>
      <c r="J193" s="119">
        <f>SUM(I192:I193)</f>
        <v>24544</v>
      </c>
      <c r="K193" s="120" t="s">
        <v>78</v>
      </c>
      <c r="L193" s="118">
        <f>ROUND((VLOOKUP(K193,$D$2:$E$10,2,FALSE))*J193,0)</f>
        <v>4879</v>
      </c>
      <c r="M193" s="119">
        <f>ROUND(IF(K193="N",0,(J193*$I$3)),0)</f>
        <v>147</v>
      </c>
      <c r="N193" s="118">
        <f>ROUND((J193*$I$4),0)</f>
        <v>1878</v>
      </c>
      <c r="O193" s="118">
        <f>ROUND(J193*$I$5,0)</f>
        <v>552</v>
      </c>
      <c r="P193" s="118">
        <f>ROUND(J193*$I$6,0)</f>
        <v>209</v>
      </c>
      <c r="Q193" s="121">
        <v>1</v>
      </c>
      <c r="R193" s="122">
        <f>ROUND(IF($Q193=0,0,((VLOOKUP($Q193,$K$3:$M$6,2,FALSE))*(1+$L$7))),0)</f>
        <v>4019</v>
      </c>
      <c r="S193" s="122">
        <f>ROUND(IF($Q193=0,0,((VLOOKUP($Q193,$K$3:$M$6,3,FALSE))*(1+$M$7))),0)</f>
        <v>324</v>
      </c>
      <c r="T193" s="118">
        <f>SUM(R193,S193)</f>
        <v>4343</v>
      </c>
      <c r="U193" s="118">
        <f>SUM(L193:P193,T193)</f>
        <v>12008</v>
      </c>
      <c r="V193" s="118">
        <f>SUM(U193,J193)</f>
        <v>36552</v>
      </c>
      <c r="W193" s="111"/>
      <c r="X193" s="123"/>
    </row>
    <row r="194" spans="1:24" x14ac:dyDescent="0.2">
      <c r="A194" s="100" t="s">
        <v>438</v>
      </c>
      <c r="B194" s="100" t="s">
        <v>405</v>
      </c>
      <c r="C194" s="100" t="s">
        <v>439</v>
      </c>
      <c r="D194" s="101"/>
      <c r="E194" s="102" t="s">
        <v>718</v>
      </c>
      <c r="F194" s="103">
        <v>528</v>
      </c>
      <c r="G194" s="104">
        <v>11.42</v>
      </c>
      <c r="H194" s="104">
        <f>ROUND((G194*(1+$I$2)),2)</f>
        <v>11.42</v>
      </c>
      <c r="I194" s="126">
        <f>ROUND((H194*F194),0)</f>
        <v>6030</v>
      </c>
      <c r="J194" s="106"/>
      <c r="K194" s="127"/>
      <c r="L194" s="108"/>
      <c r="M194" s="109"/>
      <c r="N194" s="108"/>
      <c r="O194" s="108"/>
      <c r="P194" s="108"/>
      <c r="Q194" s="128"/>
      <c r="R194" s="111"/>
      <c r="S194" s="111"/>
      <c r="T194" s="112"/>
      <c r="U194" s="108"/>
      <c r="V194" s="108"/>
      <c r="W194" s="111"/>
      <c r="X194" s="52"/>
    </row>
    <row r="195" spans="1:24" x14ac:dyDescent="0.2">
      <c r="A195" s="113"/>
      <c r="B195" s="113"/>
      <c r="C195" s="113"/>
      <c r="D195" s="114" t="s">
        <v>440</v>
      </c>
      <c r="E195" s="115" t="s">
        <v>719</v>
      </c>
      <c r="F195" s="116">
        <v>512</v>
      </c>
      <c r="G195" s="117">
        <v>11.8</v>
      </c>
      <c r="H195" s="117">
        <f>ROUND(IF($I$1="YES",(G195*(1+$I$2)),(G194*(1+$I$2))),2)</f>
        <v>11.42</v>
      </c>
      <c r="I195" s="118">
        <f>ROUND((H195*F195),0)</f>
        <v>5847</v>
      </c>
      <c r="J195" s="119">
        <f>SUM(I194:I195)</f>
        <v>11877</v>
      </c>
      <c r="K195" s="120" t="s">
        <v>78</v>
      </c>
      <c r="L195" s="118">
        <f>ROUND((VLOOKUP(K195,$D$2:$E$10,2,FALSE))*J195,0)</f>
        <v>2361</v>
      </c>
      <c r="M195" s="119">
        <f>ROUND(IF(K195="N",0,(J195*$I$3)),0)</f>
        <v>71</v>
      </c>
      <c r="N195" s="118">
        <f>ROUND((J195*$I$4),0)</f>
        <v>909</v>
      </c>
      <c r="O195" s="118">
        <f>ROUND(J195*$I$5,0)</f>
        <v>267</v>
      </c>
      <c r="P195" s="118">
        <f>ROUND(J195*$I$6,0)</f>
        <v>101</v>
      </c>
      <c r="Q195" s="121">
        <v>0</v>
      </c>
      <c r="R195" s="122">
        <f>ROUND(IF($Q195=0,0,((VLOOKUP($Q195,$K$3:$M$6,2,FALSE))*(1+$L$7))),0)</f>
        <v>0</v>
      </c>
      <c r="S195" s="122">
        <f>ROUND(IF($Q195=0,0,((VLOOKUP($Q195,$K$3:$M$6,3,FALSE))*(1+$M$7))),0)</f>
        <v>0</v>
      </c>
      <c r="T195" s="118">
        <f>SUM(R195,S195)</f>
        <v>0</v>
      </c>
      <c r="U195" s="118">
        <f>SUM(L195:P195,T195)</f>
        <v>3709</v>
      </c>
      <c r="V195" s="118">
        <f>SUM(U195,J195)</f>
        <v>15586</v>
      </c>
      <c r="W195" s="111"/>
      <c r="X195" s="123"/>
    </row>
    <row r="196" spans="1:24" x14ac:dyDescent="0.2">
      <c r="A196" s="40" t="s">
        <v>441</v>
      </c>
      <c r="B196" s="100" t="s">
        <v>405</v>
      </c>
      <c r="C196" s="100" t="s">
        <v>442</v>
      </c>
      <c r="D196" s="124"/>
      <c r="E196" s="125" t="s">
        <v>718</v>
      </c>
      <c r="F196" s="103">
        <v>1004</v>
      </c>
      <c r="G196" s="104">
        <v>11.42</v>
      </c>
      <c r="H196" s="104">
        <f>ROUND((G196*(1+$I$2)),2)</f>
        <v>11.42</v>
      </c>
      <c r="I196" s="126">
        <f t="shared" ref="I196:I201" si="31">ROUND((H196*F196),0)</f>
        <v>11466</v>
      </c>
      <c r="J196" s="106"/>
      <c r="K196" s="127"/>
      <c r="L196" s="108"/>
      <c r="M196" s="109"/>
      <c r="N196" s="108"/>
      <c r="O196" s="108"/>
      <c r="P196" s="108"/>
      <c r="Q196" s="128"/>
      <c r="R196" s="111"/>
      <c r="S196" s="111"/>
      <c r="T196" s="112"/>
      <c r="U196" s="108"/>
      <c r="V196" s="108"/>
      <c r="W196" s="111"/>
      <c r="X196" s="52"/>
    </row>
    <row r="197" spans="1:24" x14ac:dyDescent="0.2">
      <c r="A197" s="113"/>
      <c r="B197" s="113"/>
      <c r="C197" s="113"/>
      <c r="D197" s="114" t="s">
        <v>335</v>
      </c>
      <c r="E197" s="115" t="s">
        <v>719</v>
      </c>
      <c r="F197" s="116">
        <v>36</v>
      </c>
      <c r="G197" s="117">
        <v>11.8</v>
      </c>
      <c r="H197" s="117">
        <f>ROUND(IF($I$1="YES",(G197*(1+$I$2)),(G196*(1+$I$2))),2)</f>
        <v>11.42</v>
      </c>
      <c r="I197" s="129">
        <f t="shared" si="31"/>
        <v>411</v>
      </c>
      <c r="J197" s="119">
        <f>SUM(I196:I197)</f>
        <v>11877</v>
      </c>
      <c r="K197" s="120" t="s">
        <v>104</v>
      </c>
      <c r="L197" s="118">
        <f>ROUND((VLOOKUP(K197,$D$2:$E$10,2,FALSE))*J197,0)</f>
        <v>2156</v>
      </c>
      <c r="M197" s="119">
        <f>ROUND(IF(K197="N",0,(J197*$I$3)),0)</f>
        <v>71</v>
      </c>
      <c r="N197" s="118">
        <f>ROUND((J197*$I$4),0)</f>
        <v>909</v>
      </c>
      <c r="O197" s="118">
        <f>ROUND(J197*$I$5,0)</f>
        <v>267</v>
      </c>
      <c r="P197" s="118">
        <f>ROUND(J197*$I$6,0)</f>
        <v>101</v>
      </c>
      <c r="Q197" s="121">
        <v>0</v>
      </c>
      <c r="R197" s="122">
        <f>ROUND(IF($Q197=0,0,((VLOOKUP($Q197,$K$3:$M$6,2,FALSE))*(1+$L$7))),0)</f>
        <v>0</v>
      </c>
      <c r="S197" s="122">
        <f>ROUND(IF($Q197=0,0,((VLOOKUP($Q197,$K$3:$M$6,3,FALSE))*(1+$M$7))),0)</f>
        <v>0</v>
      </c>
      <c r="T197" s="118">
        <f>SUM(R197,S197)</f>
        <v>0</v>
      </c>
      <c r="U197" s="118">
        <f>SUM(L197:P197,T197)</f>
        <v>3504</v>
      </c>
      <c r="V197" s="118">
        <f>SUM(U197,J197)</f>
        <v>15381</v>
      </c>
      <c r="W197" s="111"/>
      <c r="X197" s="123"/>
    </row>
    <row r="198" spans="1:24" x14ac:dyDescent="0.2">
      <c r="A198" s="40" t="s">
        <v>443</v>
      </c>
      <c r="B198" s="100" t="s">
        <v>405</v>
      </c>
      <c r="C198" s="100" t="s">
        <v>444</v>
      </c>
      <c r="D198" s="124"/>
      <c r="E198" s="102" t="s">
        <v>717</v>
      </c>
      <c r="F198" s="103">
        <v>880</v>
      </c>
      <c r="G198" s="104">
        <v>11.28</v>
      </c>
      <c r="H198" s="104">
        <f>ROUND((G198*(1+$I$2)),2)</f>
        <v>11.28</v>
      </c>
      <c r="I198" s="126">
        <f t="shared" si="31"/>
        <v>9926</v>
      </c>
      <c r="J198" s="106"/>
      <c r="K198" s="127"/>
      <c r="L198" s="108"/>
      <c r="M198" s="109"/>
      <c r="N198" s="108"/>
      <c r="O198" s="108"/>
      <c r="P198" s="108"/>
      <c r="Q198" s="128"/>
      <c r="R198" s="111"/>
      <c r="S198" s="111"/>
      <c r="T198" s="112"/>
      <c r="U198" s="108"/>
      <c r="V198" s="108"/>
      <c r="W198" s="111"/>
      <c r="X198" s="52"/>
    </row>
    <row r="199" spans="1:24" x14ac:dyDescent="0.2">
      <c r="A199" s="113"/>
      <c r="B199" s="113"/>
      <c r="C199" s="113"/>
      <c r="D199" s="114">
        <v>41588</v>
      </c>
      <c r="E199" s="115" t="s">
        <v>718</v>
      </c>
      <c r="F199" s="116">
        <v>160</v>
      </c>
      <c r="G199" s="117">
        <v>11.42</v>
      </c>
      <c r="H199" s="117">
        <f>ROUND(IF($I$1="YES",(G199*(1+$I$2)),(G198*(1+$I$2))),2)</f>
        <v>11.28</v>
      </c>
      <c r="I199" s="129">
        <f t="shared" si="31"/>
        <v>1805</v>
      </c>
      <c r="J199" s="119">
        <f>SUM(I198:I199)</f>
        <v>11731</v>
      </c>
      <c r="K199" s="120" t="s">
        <v>78</v>
      </c>
      <c r="L199" s="118">
        <f>ROUND((VLOOKUP(K199,$D$2:$E$10,2,FALSE))*J199,0)</f>
        <v>2332</v>
      </c>
      <c r="M199" s="119">
        <f>ROUND(IF(K199="N",0,(J199*$I$3)),0)</f>
        <v>70</v>
      </c>
      <c r="N199" s="118">
        <f>ROUND((J199*$I$4),0)</f>
        <v>897</v>
      </c>
      <c r="O199" s="118">
        <f>ROUND(J199*$I$5,0)</f>
        <v>264</v>
      </c>
      <c r="P199" s="118">
        <f>ROUND(J199*$I$6,0)</f>
        <v>100</v>
      </c>
      <c r="Q199" s="121">
        <v>0</v>
      </c>
      <c r="R199" s="122">
        <f>ROUND(IF($Q199=0,0,((VLOOKUP($Q199,$K$3:$M$6,2,FALSE))*(1+$L$7))),0)</f>
        <v>0</v>
      </c>
      <c r="S199" s="122">
        <f>ROUND(IF($Q199=0,0,((VLOOKUP($Q199,$K$3:$M$6,3,FALSE))*(1+$M$7))),0)</f>
        <v>0</v>
      </c>
      <c r="T199" s="118">
        <f>SUM(R199,S199)</f>
        <v>0</v>
      </c>
      <c r="U199" s="118">
        <f>SUM(L199:P199,T199)</f>
        <v>3663</v>
      </c>
      <c r="V199" s="118">
        <f>SUM(U199,J199)</f>
        <v>15394</v>
      </c>
      <c r="W199" s="111"/>
      <c r="X199" s="123"/>
    </row>
    <row r="200" spans="1:24" x14ac:dyDescent="0.2">
      <c r="A200" s="100" t="s">
        <v>445</v>
      </c>
      <c r="B200" s="100" t="s">
        <v>446</v>
      </c>
      <c r="C200" s="100" t="s">
        <v>447</v>
      </c>
      <c r="D200" s="124"/>
      <c r="E200" s="102" t="s">
        <v>720</v>
      </c>
      <c r="F200" s="103">
        <v>368</v>
      </c>
      <c r="G200" s="104">
        <v>11.96</v>
      </c>
      <c r="H200" s="104">
        <f>ROUND((G200*(1+$I$2)),2)</f>
        <v>11.96</v>
      </c>
      <c r="I200" s="126">
        <f t="shared" si="31"/>
        <v>4401</v>
      </c>
      <c r="J200" s="106"/>
      <c r="K200" s="127"/>
      <c r="L200" s="108"/>
      <c r="M200" s="109"/>
      <c r="N200" s="108"/>
      <c r="O200" s="108"/>
      <c r="P200" s="108"/>
      <c r="Q200" s="128"/>
      <c r="R200" s="111"/>
      <c r="S200" s="111"/>
      <c r="T200" s="112"/>
      <c r="U200" s="108"/>
      <c r="V200" s="108"/>
      <c r="W200" s="111"/>
      <c r="X200" s="52"/>
    </row>
    <row r="201" spans="1:24" x14ac:dyDescent="0.2">
      <c r="A201" s="113"/>
      <c r="B201" s="113"/>
      <c r="C201" s="113"/>
      <c r="D201" s="114" t="s">
        <v>420</v>
      </c>
      <c r="E201" s="115" t="s">
        <v>721</v>
      </c>
      <c r="F201" s="116">
        <v>672</v>
      </c>
      <c r="G201" s="117">
        <v>12.31</v>
      </c>
      <c r="H201" s="117">
        <f>ROUND(IF($I$1="YES",(G201*(1+$I$2)),(G200*(1+$I$2))),2)</f>
        <v>11.96</v>
      </c>
      <c r="I201" s="129">
        <f t="shared" si="31"/>
        <v>8037</v>
      </c>
      <c r="J201" s="119">
        <f>SUM(I200:I201)</f>
        <v>12438</v>
      </c>
      <c r="K201" s="120" t="s">
        <v>104</v>
      </c>
      <c r="L201" s="118">
        <f>ROUND((VLOOKUP(K201,$D$2:$E$10,2,FALSE))*J201,0)</f>
        <v>2257</v>
      </c>
      <c r="M201" s="119">
        <f>ROUND(IF(K201="N",0,(J201*$I$3)),0)</f>
        <v>75</v>
      </c>
      <c r="N201" s="118">
        <f>ROUND((J201*$I$4),0)</f>
        <v>952</v>
      </c>
      <c r="O201" s="118">
        <f>ROUND(J201*$I$5,0)</f>
        <v>280</v>
      </c>
      <c r="P201" s="118">
        <f>ROUND(J201*$I$6,0)</f>
        <v>106</v>
      </c>
      <c r="Q201" s="121">
        <v>0</v>
      </c>
      <c r="R201" s="122">
        <f>ROUND(IF($Q201=0,0,((VLOOKUP($Q201,$K$3:$M$6,2,FALSE))*(1+$L$7))),0)</f>
        <v>0</v>
      </c>
      <c r="S201" s="122">
        <f>ROUND(IF($Q201=0,0,((VLOOKUP($Q201,$K$3:$M$6,3,FALSE))*(1+$M$7))),0)</f>
        <v>0</v>
      </c>
      <c r="T201" s="118">
        <f>SUM(R201,S201)</f>
        <v>0</v>
      </c>
      <c r="U201" s="118">
        <f>SUM(L201:P201,T201)</f>
        <v>3670</v>
      </c>
      <c r="V201" s="118">
        <f>SUM(U201,J201)</f>
        <v>16108</v>
      </c>
      <c r="W201" s="111"/>
      <c r="X201" s="123"/>
    </row>
    <row r="202" spans="1:24" x14ac:dyDescent="0.2">
      <c r="A202" s="100" t="s">
        <v>448</v>
      </c>
      <c r="B202" s="100" t="s">
        <v>449</v>
      </c>
      <c r="C202" s="100" t="s">
        <v>450</v>
      </c>
      <c r="D202" s="101"/>
      <c r="E202" s="102" t="s">
        <v>452</v>
      </c>
      <c r="F202" s="103">
        <v>8</v>
      </c>
      <c r="G202" s="104">
        <v>18.89</v>
      </c>
      <c r="H202" s="104">
        <f>ROUND((G202*(1+$I$2)),2)</f>
        <v>18.89</v>
      </c>
      <c r="I202" s="126">
        <f>ROUND((H202*F202),0)</f>
        <v>151</v>
      </c>
      <c r="J202" s="106"/>
      <c r="K202" s="127"/>
      <c r="L202" s="108"/>
      <c r="M202" s="109"/>
      <c r="N202" s="108"/>
      <c r="O202" s="108"/>
      <c r="P202" s="108"/>
      <c r="Q202" s="128"/>
      <c r="R202" s="111"/>
      <c r="S202" s="111"/>
      <c r="T202" s="112"/>
      <c r="U202" s="108"/>
      <c r="V202" s="108"/>
      <c r="W202" s="111"/>
      <c r="X202" s="52"/>
    </row>
    <row r="203" spans="1:24" x14ac:dyDescent="0.2">
      <c r="A203" s="113"/>
      <c r="B203" s="113"/>
      <c r="C203" s="113"/>
      <c r="D203" s="114" t="s">
        <v>451</v>
      </c>
      <c r="E203" s="115" t="s">
        <v>453</v>
      </c>
      <c r="F203" s="116">
        <v>1032</v>
      </c>
      <c r="G203" s="117">
        <v>19.28</v>
      </c>
      <c r="H203" s="117">
        <f>ROUND(IF($I$1="YES",(G203*(1+$I$2)),(G202*(1+$I$2))),2)</f>
        <v>18.89</v>
      </c>
      <c r="I203" s="118">
        <f>ROUND((H203*F203),0)</f>
        <v>19494</v>
      </c>
      <c r="J203" s="119">
        <f>SUM(I202:I203)</f>
        <v>19645</v>
      </c>
      <c r="K203" s="120" t="s">
        <v>78</v>
      </c>
      <c r="L203" s="118">
        <f>ROUND((VLOOKUP(K203,$D$2:$E$10,2,FALSE))*J203,0)</f>
        <v>3905</v>
      </c>
      <c r="M203" s="119">
        <f>ROUND(IF(K203="N",0,(J203*$I$3)),0)</f>
        <v>118</v>
      </c>
      <c r="N203" s="118">
        <f>ROUND((J203*$I$4),0)</f>
        <v>1503</v>
      </c>
      <c r="O203" s="118">
        <f>ROUND(J203*$I$5,0)</f>
        <v>442</v>
      </c>
      <c r="P203" s="118">
        <f>ROUND(J203*$I$6,0)</f>
        <v>167</v>
      </c>
      <c r="Q203" s="121">
        <v>0</v>
      </c>
      <c r="R203" s="122">
        <f>ROUND(IF($Q203=0,0,((VLOOKUP($Q203,$K$3:$M$6,2,FALSE))*(1+$L$7))),0)</f>
        <v>0</v>
      </c>
      <c r="S203" s="122">
        <f>ROUND(IF($Q203=0,0,((VLOOKUP($Q203,$K$3:$M$6,3,FALSE))*(1+$M$7))),0)</f>
        <v>0</v>
      </c>
      <c r="T203" s="118">
        <f>SUM(R203,S203)</f>
        <v>0</v>
      </c>
      <c r="U203" s="118">
        <f>SUM(L203:P203,T203)</f>
        <v>6135</v>
      </c>
      <c r="V203" s="118">
        <f>SUM(U203,J203)</f>
        <v>25780</v>
      </c>
      <c r="W203" s="111"/>
      <c r="X203" s="123"/>
    </row>
    <row r="204" spans="1:24" x14ac:dyDescent="0.2">
      <c r="A204" s="40" t="s">
        <v>454</v>
      </c>
      <c r="B204" s="100" t="s">
        <v>449</v>
      </c>
      <c r="C204" s="100" t="s">
        <v>455</v>
      </c>
      <c r="D204" s="124"/>
      <c r="E204" s="125" t="s">
        <v>457</v>
      </c>
      <c r="F204" s="103">
        <v>812</v>
      </c>
      <c r="G204" s="104">
        <v>15.41</v>
      </c>
      <c r="H204" s="104">
        <f>ROUND((G204*(1+$I$2)),2)</f>
        <v>15.41</v>
      </c>
      <c r="I204" s="126">
        <f t="shared" ref="I204:I209" si="32">ROUND((H204*F204),0)</f>
        <v>12513</v>
      </c>
      <c r="J204" s="106"/>
      <c r="K204" s="127"/>
      <c r="L204" s="108"/>
      <c r="M204" s="109"/>
      <c r="N204" s="108"/>
      <c r="O204" s="108"/>
      <c r="P204" s="108"/>
      <c r="Q204" s="128"/>
      <c r="R204" s="111"/>
      <c r="S204" s="111"/>
      <c r="T204" s="112"/>
      <c r="U204" s="108"/>
      <c r="V204" s="108"/>
      <c r="W204" s="111"/>
      <c r="X204" s="52"/>
    </row>
    <row r="205" spans="1:24" x14ac:dyDescent="0.2">
      <c r="A205" s="113"/>
      <c r="B205" s="113"/>
      <c r="C205" s="113"/>
      <c r="D205" s="114" t="s">
        <v>456</v>
      </c>
      <c r="E205" s="115" t="s">
        <v>658</v>
      </c>
      <c r="F205" s="116">
        <v>228</v>
      </c>
      <c r="G205" s="117">
        <v>15.74</v>
      </c>
      <c r="H205" s="117">
        <f>ROUND(IF($I$1="YES",(G205*(1+$I$2)),(G204*(1+$I$2))),2)</f>
        <v>15.41</v>
      </c>
      <c r="I205" s="129">
        <f t="shared" si="32"/>
        <v>3513</v>
      </c>
      <c r="J205" s="119">
        <f>SUM(I204:I205)</f>
        <v>16026</v>
      </c>
      <c r="K205" s="120" t="s">
        <v>78</v>
      </c>
      <c r="L205" s="118">
        <f>ROUND((VLOOKUP(K205,$D$2:$E$10,2,FALSE))*J205,0)</f>
        <v>3186</v>
      </c>
      <c r="M205" s="119">
        <f>ROUND(IF(K205="N",0,(J205*$I$3)),0)</f>
        <v>96</v>
      </c>
      <c r="N205" s="118">
        <f>ROUND((J205*$I$4),0)</f>
        <v>1226</v>
      </c>
      <c r="O205" s="118">
        <f>ROUND(J205*$I$5,0)</f>
        <v>361</v>
      </c>
      <c r="P205" s="118">
        <f>ROUND(J205*$I$6,0)</f>
        <v>136</v>
      </c>
      <c r="Q205" s="121">
        <v>0</v>
      </c>
      <c r="R205" s="122">
        <f>ROUND(IF($Q205=0,0,((VLOOKUP($Q205,$K$3:$M$6,2,FALSE))*(1+$L$7))),0)</f>
        <v>0</v>
      </c>
      <c r="S205" s="122">
        <f>ROUND(IF($Q205=0,0,((VLOOKUP($Q205,$K$3:$M$6,3,FALSE))*(1+$M$7))),0)</f>
        <v>0</v>
      </c>
      <c r="T205" s="118">
        <f>SUM(R205,S205)</f>
        <v>0</v>
      </c>
      <c r="U205" s="118">
        <f>SUM(L205:P205,T205)</f>
        <v>5005</v>
      </c>
      <c r="V205" s="118">
        <f>SUM(U205,J205)</f>
        <v>21031</v>
      </c>
      <c r="W205" s="111"/>
      <c r="X205" s="123"/>
    </row>
    <row r="206" spans="1:24" x14ac:dyDescent="0.2">
      <c r="A206" s="40" t="s">
        <v>458</v>
      </c>
      <c r="B206" s="100" t="s">
        <v>449</v>
      </c>
      <c r="C206" s="100" t="s">
        <v>459</v>
      </c>
      <c r="D206" s="124"/>
      <c r="E206" s="102" t="s">
        <v>460</v>
      </c>
      <c r="F206" s="103">
        <v>240</v>
      </c>
      <c r="G206" s="104">
        <v>21.32</v>
      </c>
      <c r="H206" s="104">
        <f>ROUND((G206*(1+$I$2)),2)</f>
        <v>21.32</v>
      </c>
      <c r="I206" s="126">
        <f t="shared" si="32"/>
        <v>5117</v>
      </c>
      <c r="J206" s="106"/>
      <c r="K206" s="127"/>
      <c r="L206" s="108"/>
      <c r="M206" s="109"/>
      <c r="N206" s="108"/>
      <c r="O206" s="108"/>
      <c r="P206" s="108"/>
      <c r="Q206" s="128"/>
      <c r="R206" s="111"/>
      <c r="S206" s="111"/>
      <c r="T206" s="112"/>
      <c r="U206" s="108"/>
      <c r="V206" s="108"/>
      <c r="W206" s="111"/>
      <c r="X206" s="52"/>
    </row>
    <row r="207" spans="1:24" x14ac:dyDescent="0.2">
      <c r="A207" s="113"/>
      <c r="B207" s="113"/>
      <c r="C207" s="113"/>
      <c r="D207" s="114" t="s">
        <v>344</v>
      </c>
      <c r="E207" s="115" t="s">
        <v>461</v>
      </c>
      <c r="F207" s="116">
        <v>1800</v>
      </c>
      <c r="G207" s="117">
        <v>21.76</v>
      </c>
      <c r="H207" s="117">
        <f>ROUND(IF($I$1="YES",(G207*(1+$I$2)),(G206*(1+$I$2))),2)</f>
        <v>21.32</v>
      </c>
      <c r="I207" s="129">
        <f t="shared" si="32"/>
        <v>38376</v>
      </c>
      <c r="J207" s="119">
        <f>SUM(I206:I207)</f>
        <v>43493</v>
      </c>
      <c r="K207" s="120" t="s">
        <v>78</v>
      </c>
      <c r="L207" s="118">
        <f>ROUND((VLOOKUP(K207,$D$2:$E$10,2,FALSE))*J207,0)</f>
        <v>8646</v>
      </c>
      <c r="M207" s="119">
        <f>ROUND(IF(K207="N",0,(J207*$I$3)),0)</f>
        <v>261</v>
      </c>
      <c r="N207" s="118">
        <f>ROUND((J207*$I$4),0)</f>
        <v>3327</v>
      </c>
      <c r="O207" s="118">
        <f>ROUND(J207*$I$5,0)</f>
        <v>979</v>
      </c>
      <c r="P207" s="118">
        <f>ROUND(J207*$I$6,0)</f>
        <v>370</v>
      </c>
      <c r="Q207" s="121">
        <v>3</v>
      </c>
      <c r="R207" s="122">
        <f>ROUND(IF($Q207=0,0,((VLOOKUP($Q207,$K$3:$M$6,2,FALSE))*(1+$L$7))),0)</f>
        <v>11460</v>
      </c>
      <c r="S207" s="122">
        <f>ROUND(IF($Q207=0,0,((VLOOKUP($Q207,$K$3:$M$6,3,FALSE))*(1+$M$7))),0)</f>
        <v>964</v>
      </c>
      <c r="T207" s="118">
        <f>SUM(R207,S207)</f>
        <v>12424</v>
      </c>
      <c r="U207" s="118">
        <f>SUM(L207:P207,T207)</f>
        <v>26007</v>
      </c>
      <c r="V207" s="118">
        <f>SUM(U207,J207)</f>
        <v>69500</v>
      </c>
      <c r="W207" s="111"/>
      <c r="X207" s="123"/>
    </row>
    <row r="208" spans="1:24" x14ac:dyDescent="0.2">
      <c r="A208" s="100" t="s">
        <v>462</v>
      </c>
      <c r="B208" s="100" t="s">
        <v>449</v>
      </c>
      <c r="C208" s="100" t="s">
        <v>463</v>
      </c>
      <c r="D208" s="124"/>
      <c r="E208" s="102" t="s">
        <v>465</v>
      </c>
      <c r="F208" s="103">
        <v>684</v>
      </c>
      <c r="G208" s="104">
        <v>13.77</v>
      </c>
      <c r="H208" s="104">
        <f>ROUND((G208*(1+$I$2)),2)</f>
        <v>13.77</v>
      </c>
      <c r="I208" s="126">
        <f t="shared" si="32"/>
        <v>9419</v>
      </c>
      <c r="J208" s="106"/>
      <c r="K208" s="127"/>
      <c r="L208" s="108"/>
      <c r="M208" s="109"/>
      <c r="N208" s="108"/>
      <c r="O208" s="108"/>
      <c r="P208" s="108"/>
      <c r="Q208" s="128"/>
      <c r="R208" s="111"/>
      <c r="S208" s="111"/>
      <c r="T208" s="112"/>
      <c r="U208" s="108"/>
      <c r="V208" s="108"/>
      <c r="W208" s="111"/>
      <c r="X208" s="52"/>
    </row>
    <row r="209" spans="1:24" x14ac:dyDescent="0.2">
      <c r="A209" s="113"/>
      <c r="B209" s="113"/>
      <c r="C209" s="113"/>
      <c r="D209" s="114" t="s">
        <v>464</v>
      </c>
      <c r="E209" s="115" t="s">
        <v>659</v>
      </c>
      <c r="F209" s="116">
        <v>1396</v>
      </c>
      <c r="G209" s="117">
        <v>14.2</v>
      </c>
      <c r="H209" s="117">
        <f>ROUND(IF($I$1="YES",(G209*(1+$I$2)),(G208*(1+$I$2))),2)</f>
        <v>13.77</v>
      </c>
      <c r="I209" s="129">
        <f t="shared" si="32"/>
        <v>19223</v>
      </c>
      <c r="J209" s="119">
        <f>SUM(I208:I209)</f>
        <v>28642</v>
      </c>
      <c r="K209" s="120" t="s">
        <v>78</v>
      </c>
      <c r="L209" s="118">
        <f>ROUND((VLOOKUP(K209,$D$2:$E$10,2,FALSE))*J209,0)</f>
        <v>5694</v>
      </c>
      <c r="M209" s="119">
        <f>ROUND(IF(K209="N",0,(J209*$I$3)),0)</f>
        <v>172</v>
      </c>
      <c r="N209" s="118">
        <f>ROUND((J209*$I$4),0)</f>
        <v>2191</v>
      </c>
      <c r="O209" s="118">
        <f>ROUND(J209*$I$5,0)</f>
        <v>644</v>
      </c>
      <c r="P209" s="118">
        <f>ROUND(J209*$I$6,0)</f>
        <v>243</v>
      </c>
      <c r="Q209" s="121">
        <v>1</v>
      </c>
      <c r="R209" s="122">
        <f>ROUND(IF($Q209=0,0,((VLOOKUP($Q209,$K$3:$M$6,2,FALSE))*(1+$L$7))),0)</f>
        <v>4019</v>
      </c>
      <c r="S209" s="122">
        <f>ROUND(IF($Q209=0,0,((VLOOKUP($Q209,$K$3:$M$6,3,FALSE))*(1+$M$7))),0)</f>
        <v>324</v>
      </c>
      <c r="T209" s="118">
        <f>SUM(R209,S209)</f>
        <v>4343</v>
      </c>
      <c r="U209" s="118">
        <f>SUM(L209:P209,T209)</f>
        <v>13287</v>
      </c>
      <c r="V209" s="118">
        <f>SUM(U209,J209)</f>
        <v>41929</v>
      </c>
      <c r="W209" s="111"/>
      <c r="X209" s="123"/>
    </row>
    <row r="210" spans="1:24" x14ac:dyDescent="0.2">
      <c r="A210" s="100" t="s">
        <v>466</v>
      </c>
      <c r="B210" s="100" t="s">
        <v>467</v>
      </c>
      <c r="C210" s="100" t="s">
        <v>468</v>
      </c>
      <c r="D210" s="101"/>
      <c r="E210" s="102" t="s">
        <v>470</v>
      </c>
      <c r="F210" s="103">
        <v>320</v>
      </c>
      <c r="G210" s="104">
        <v>20.57</v>
      </c>
      <c r="H210" s="104">
        <f>ROUND((G210*(1+$I$2)),2)</f>
        <v>20.57</v>
      </c>
      <c r="I210" s="126">
        <f>ROUND((H210*F210),0)</f>
        <v>6582</v>
      </c>
      <c r="J210" s="106"/>
      <c r="K210" s="127"/>
      <c r="L210" s="108"/>
      <c r="M210" s="109"/>
      <c r="N210" s="108"/>
      <c r="O210" s="108"/>
      <c r="P210" s="108"/>
      <c r="Q210" s="128"/>
      <c r="R210" s="111"/>
      <c r="S210" s="111"/>
      <c r="T210" s="112"/>
      <c r="U210" s="108"/>
      <c r="V210" s="108"/>
      <c r="W210" s="111"/>
      <c r="X210" s="52"/>
    </row>
    <row r="211" spans="1:24" x14ac:dyDescent="0.2">
      <c r="A211" s="113"/>
      <c r="B211" s="113"/>
      <c r="C211" s="113"/>
      <c r="D211" s="114" t="s">
        <v>469</v>
      </c>
      <c r="E211" s="115" t="s">
        <v>471</v>
      </c>
      <c r="F211" s="116">
        <v>1760</v>
      </c>
      <c r="G211" s="117">
        <v>20.98</v>
      </c>
      <c r="H211" s="117">
        <f>ROUND(IF($I$1="YES",(G211*(1+$I$2)),(G210*(1+$I$2))),2)</f>
        <v>20.57</v>
      </c>
      <c r="I211" s="118">
        <f>ROUND((H211*F211),0)</f>
        <v>36203</v>
      </c>
      <c r="J211" s="119">
        <f>SUM(I210:I211)</f>
        <v>42785</v>
      </c>
      <c r="K211" s="120" t="s">
        <v>78</v>
      </c>
      <c r="L211" s="118">
        <f>ROUND((VLOOKUP(K211,$D$2:$E$10,2,FALSE))*J211,0)</f>
        <v>8506</v>
      </c>
      <c r="M211" s="119">
        <f>ROUND(IF(K211="N",0,(J211*$I$3)),0)</f>
        <v>257</v>
      </c>
      <c r="N211" s="118">
        <f>ROUND((J211*$I$4),0)</f>
        <v>3273</v>
      </c>
      <c r="O211" s="118">
        <f>ROUND(J211*$I$5,0)</f>
        <v>963</v>
      </c>
      <c r="P211" s="118">
        <f>ROUND(J211*$I$6,0)</f>
        <v>364</v>
      </c>
      <c r="Q211" s="121">
        <v>2</v>
      </c>
      <c r="R211" s="122">
        <f>ROUND(IF($Q211=0,0,((VLOOKUP($Q211,$K$3:$M$6,2,FALSE))*(1+$L$7))),0)</f>
        <v>9458</v>
      </c>
      <c r="S211" s="122">
        <f>ROUND(IF($Q211=0,0,((VLOOKUP($Q211,$K$3:$M$6,3,FALSE))*(1+$M$7))),0)</f>
        <v>625</v>
      </c>
      <c r="T211" s="118">
        <f>SUM(R211,S211)</f>
        <v>10083</v>
      </c>
      <c r="U211" s="118">
        <f>SUM(L211:P211,T211)</f>
        <v>23446</v>
      </c>
      <c r="V211" s="118">
        <f>SUM(U211,J211)</f>
        <v>66231</v>
      </c>
      <c r="W211" s="111"/>
      <c r="X211" s="123"/>
    </row>
    <row r="212" spans="1:24" x14ac:dyDescent="0.2">
      <c r="A212" s="40" t="s">
        <v>472</v>
      </c>
      <c r="B212" s="100" t="s">
        <v>467</v>
      </c>
      <c r="C212" s="100" t="s">
        <v>473</v>
      </c>
      <c r="D212" s="124"/>
      <c r="E212" s="125" t="s">
        <v>475</v>
      </c>
      <c r="F212" s="103">
        <v>1004</v>
      </c>
      <c r="G212" s="104">
        <v>23.23</v>
      </c>
      <c r="H212" s="104">
        <f>ROUND((G212*(1+$I$2)),2)</f>
        <v>23.23</v>
      </c>
      <c r="I212" s="126">
        <f t="shared" ref="I212:I217" si="33">ROUND((H212*F212),0)</f>
        <v>23323</v>
      </c>
      <c r="J212" s="106"/>
      <c r="K212" s="127"/>
      <c r="L212" s="108"/>
      <c r="M212" s="109"/>
      <c r="N212" s="108"/>
      <c r="O212" s="108"/>
      <c r="P212" s="108"/>
      <c r="Q212" s="128"/>
      <c r="R212" s="111"/>
      <c r="S212" s="111"/>
      <c r="T212" s="112"/>
      <c r="U212" s="108"/>
      <c r="V212" s="108"/>
      <c r="W212" s="111"/>
      <c r="X212" s="52"/>
    </row>
    <row r="213" spans="1:24" x14ac:dyDescent="0.2">
      <c r="A213" s="113"/>
      <c r="B213" s="113"/>
      <c r="C213" s="113"/>
      <c r="D213" s="114" t="s">
        <v>474</v>
      </c>
      <c r="E213" s="115" t="s">
        <v>660</v>
      </c>
      <c r="F213" s="116">
        <v>36</v>
      </c>
      <c r="G213" s="117">
        <v>23.68</v>
      </c>
      <c r="H213" s="117">
        <f>ROUND(IF($I$1="YES",(G213*(1+$I$2)),(G212*(1+$I$2))),2)</f>
        <v>23.23</v>
      </c>
      <c r="I213" s="129">
        <f t="shared" si="33"/>
        <v>836</v>
      </c>
      <c r="J213" s="119">
        <f>SUM(I212:I213)</f>
        <v>24159</v>
      </c>
      <c r="K213" s="120" t="s">
        <v>78</v>
      </c>
      <c r="L213" s="118">
        <f>ROUND((VLOOKUP(K213,$D$2:$E$10,2,FALSE))*J213,0)</f>
        <v>4803</v>
      </c>
      <c r="M213" s="119">
        <f>ROUND(IF(K213="N",0,(J213*$I$3)),0)</f>
        <v>145</v>
      </c>
      <c r="N213" s="118">
        <f>ROUND((J213*$I$4),0)</f>
        <v>1848</v>
      </c>
      <c r="O213" s="118">
        <f>ROUND(J213*$I$5,0)</f>
        <v>544</v>
      </c>
      <c r="P213" s="118">
        <f>ROUND(J213*$I$6,0)</f>
        <v>205</v>
      </c>
      <c r="Q213" s="121">
        <v>0</v>
      </c>
      <c r="R213" s="122">
        <f>ROUND(IF($Q213=0,0,((VLOOKUP($Q213,$K$3:$M$6,2,FALSE))*(1+$L$7))),0)</f>
        <v>0</v>
      </c>
      <c r="S213" s="122">
        <f>ROUND(IF($Q213=0,0,((VLOOKUP($Q213,$K$3:$M$6,3,FALSE))*(1+$M$7))),0)</f>
        <v>0</v>
      </c>
      <c r="T213" s="118">
        <f>SUM(R213,S213)</f>
        <v>0</v>
      </c>
      <c r="U213" s="118">
        <f>SUM(L213:P213,T213)</f>
        <v>7545</v>
      </c>
      <c r="V213" s="118">
        <f>SUM(U213,J213)</f>
        <v>31704</v>
      </c>
      <c r="W213" s="111"/>
      <c r="X213" s="123"/>
    </row>
    <row r="214" spans="1:24" x14ac:dyDescent="0.2">
      <c r="A214" s="40" t="s">
        <v>476</v>
      </c>
      <c r="B214" s="100" t="s">
        <v>467</v>
      </c>
      <c r="C214" s="100" t="s">
        <v>477</v>
      </c>
      <c r="D214" s="124"/>
      <c r="E214" s="102" t="s">
        <v>478</v>
      </c>
      <c r="F214" s="103">
        <v>240</v>
      </c>
      <c r="G214" s="104">
        <v>18.149999999999999</v>
      </c>
      <c r="H214" s="104">
        <f>ROUND((G214*(1+$I$2)),2)</f>
        <v>18.149999999999999</v>
      </c>
      <c r="I214" s="126">
        <f t="shared" si="33"/>
        <v>4356</v>
      </c>
      <c r="J214" s="106"/>
      <c r="K214" s="127"/>
      <c r="L214" s="108"/>
      <c r="M214" s="109"/>
      <c r="N214" s="108"/>
      <c r="O214" s="108"/>
      <c r="P214" s="108"/>
      <c r="Q214" s="128"/>
      <c r="R214" s="111"/>
      <c r="S214" s="111"/>
      <c r="T214" s="112"/>
      <c r="U214" s="108"/>
      <c r="V214" s="108"/>
      <c r="W214" s="111"/>
      <c r="X214" s="52"/>
    </row>
    <row r="215" spans="1:24" x14ac:dyDescent="0.2">
      <c r="A215" s="113"/>
      <c r="B215" s="113"/>
      <c r="C215" s="113"/>
      <c r="D215" s="114" t="s">
        <v>360</v>
      </c>
      <c r="E215" s="115" t="s">
        <v>479</v>
      </c>
      <c r="F215" s="116">
        <v>1840</v>
      </c>
      <c r="G215" s="117">
        <v>18.420000000000002</v>
      </c>
      <c r="H215" s="117">
        <f>ROUND(IF($I$1="YES",(G215*(1+$I$2)),(G214*(1+$I$2))),2)</f>
        <v>18.149999999999999</v>
      </c>
      <c r="I215" s="129">
        <f t="shared" si="33"/>
        <v>33396</v>
      </c>
      <c r="J215" s="119">
        <f>SUM(I214:I215)</f>
        <v>37752</v>
      </c>
      <c r="K215" s="120" t="s">
        <v>78</v>
      </c>
      <c r="L215" s="118">
        <f>ROUND((VLOOKUP(K215,$D$2:$E$10,2,FALSE))*J215,0)</f>
        <v>7505</v>
      </c>
      <c r="M215" s="119">
        <f>ROUND(IF(K215="N",0,(J215*$I$3)),0)</f>
        <v>227</v>
      </c>
      <c r="N215" s="118">
        <f>ROUND((J215*$I$4),0)</f>
        <v>2888</v>
      </c>
      <c r="O215" s="118">
        <f>ROUND(J215*$I$5,0)</f>
        <v>849</v>
      </c>
      <c r="P215" s="118">
        <f>ROUND(J215*$I$6,0)</f>
        <v>321</v>
      </c>
      <c r="Q215" s="121">
        <v>3</v>
      </c>
      <c r="R215" s="122">
        <f>ROUND(IF($Q215=0,0,((VLOOKUP($Q215,$K$3:$M$6,2,FALSE))*(1+$L$7))),0)</f>
        <v>11460</v>
      </c>
      <c r="S215" s="122">
        <f>ROUND(IF($Q215=0,0,((VLOOKUP($Q215,$K$3:$M$6,3,FALSE))*(1+$M$7))),0)</f>
        <v>964</v>
      </c>
      <c r="T215" s="118">
        <f>SUM(R215,S215)</f>
        <v>12424</v>
      </c>
      <c r="U215" s="118">
        <f>SUM(L215:P215,T215)</f>
        <v>24214</v>
      </c>
      <c r="V215" s="118">
        <f>SUM(U215,J215)</f>
        <v>61966</v>
      </c>
      <c r="W215" s="111"/>
      <c r="X215" s="123"/>
    </row>
    <row r="216" spans="1:24" x14ac:dyDescent="0.2">
      <c r="A216" s="100" t="s">
        <v>480</v>
      </c>
      <c r="B216" s="100" t="s">
        <v>467</v>
      </c>
      <c r="C216" s="100" t="s">
        <v>644</v>
      </c>
      <c r="D216" s="124"/>
      <c r="E216" s="102" t="s">
        <v>663</v>
      </c>
      <c r="F216" s="103">
        <v>0</v>
      </c>
      <c r="G216" s="104">
        <v>19.39</v>
      </c>
      <c r="H216" s="104">
        <f>ROUND((G216*(1+$I$2)),2)</f>
        <v>19.39</v>
      </c>
      <c r="I216" s="126">
        <f t="shared" si="33"/>
        <v>0</v>
      </c>
      <c r="J216" s="106"/>
      <c r="K216" s="127"/>
      <c r="L216" s="108"/>
      <c r="M216" s="109"/>
      <c r="N216" s="108"/>
      <c r="O216" s="108"/>
      <c r="P216" s="108"/>
      <c r="Q216" s="128"/>
      <c r="R216" s="111"/>
      <c r="S216" s="111"/>
      <c r="T216" s="112"/>
      <c r="U216" s="108"/>
      <c r="V216" s="108"/>
      <c r="W216" s="111"/>
      <c r="X216" s="52"/>
    </row>
    <row r="217" spans="1:24" x14ac:dyDescent="0.2">
      <c r="A217" s="113"/>
      <c r="B217" s="113"/>
      <c r="C217" s="113"/>
      <c r="D217" s="114" t="s">
        <v>482</v>
      </c>
      <c r="E217" s="115" t="s">
        <v>503</v>
      </c>
      <c r="F217" s="116">
        <v>0</v>
      </c>
      <c r="G217" s="117">
        <v>19.68</v>
      </c>
      <c r="H217" s="117">
        <f>ROUND(IF($I$1="YES",(G217*(1+$I$2)),(G216*(1+$I$2))),2)</f>
        <v>19.39</v>
      </c>
      <c r="I217" s="129">
        <f t="shared" si="33"/>
        <v>0</v>
      </c>
      <c r="J217" s="119">
        <f>SUM(I216:I217)</f>
        <v>0</v>
      </c>
      <c r="K217" s="120" t="s">
        <v>78</v>
      </c>
      <c r="L217" s="118">
        <f>ROUND((VLOOKUP(K217,$D$2:$E$10,2,FALSE))*J217,0)</f>
        <v>0</v>
      </c>
      <c r="M217" s="119">
        <f>ROUND(IF(K217="N",0,(J217*$I$3)),0)</f>
        <v>0</v>
      </c>
      <c r="N217" s="118">
        <f>ROUND((J217*$I$4),0)</f>
        <v>0</v>
      </c>
      <c r="O217" s="118">
        <f>ROUND(J217*$I$5,0)</f>
        <v>0</v>
      </c>
      <c r="P217" s="118">
        <f>ROUND(J217*$I$6,0)</f>
        <v>0</v>
      </c>
      <c r="Q217" s="121"/>
      <c r="R217" s="122">
        <f>ROUND(IF($Q217=0,0,((VLOOKUP($Q217,$K$3:$M$6,2,FALSE))*(1+$L$7))),0)</f>
        <v>0</v>
      </c>
      <c r="S217" s="122">
        <f>ROUND(IF($Q217=0,0,((VLOOKUP($Q217,$K$3:$M$6,3,FALSE))*(1+$M$7))),0)</f>
        <v>0</v>
      </c>
      <c r="T217" s="118">
        <f>SUM(R217,S217)</f>
        <v>0</v>
      </c>
      <c r="U217" s="118">
        <f>SUM(L217:P217,T217)</f>
        <v>0</v>
      </c>
      <c r="V217" s="118">
        <f>SUM(U217,J217)</f>
        <v>0</v>
      </c>
      <c r="W217" s="111"/>
      <c r="X217" s="123"/>
    </row>
    <row r="218" spans="1:24" x14ac:dyDescent="0.2">
      <c r="A218" s="100" t="s">
        <v>483</v>
      </c>
      <c r="B218" s="100" t="s">
        <v>484</v>
      </c>
      <c r="C218" s="100" t="s">
        <v>485</v>
      </c>
      <c r="D218" s="101"/>
      <c r="E218" s="102" t="s">
        <v>487</v>
      </c>
      <c r="F218" s="103">
        <v>240</v>
      </c>
      <c r="G218" s="104">
        <v>30.74</v>
      </c>
      <c r="H218" s="104">
        <f>ROUND((G218*(1+$I$2)),2)</f>
        <v>30.74</v>
      </c>
      <c r="I218" s="126">
        <f>ROUND((H218*F218),0)</f>
        <v>7378</v>
      </c>
      <c r="J218" s="106"/>
      <c r="K218" s="127"/>
      <c r="L218" s="108"/>
      <c r="M218" s="109"/>
      <c r="N218" s="108"/>
      <c r="O218" s="108"/>
      <c r="P218" s="108"/>
      <c r="Q218" s="128"/>
      <c r="R218" s="111"/>
      <c r="S218" s="111"/>
      <c r="T218" s="112"/>
      <c r="U218" s="108"/>
      <c r="V218" s="108"/>
      <c r="W218" s="111"/>
      <c r="X218" s="52"/>
    </row>
    <row r="219" spans="1:24" x14ac:dyDescent="0.2">
      <c r="A219" s="113"/>
      <c r="B219" s="113"/>
      <c r="C219" s="113"/>
      <c r="D219" s="114" t="s">
        <v>486</v>
      </c>
      <c r="E219" s="115" t="s">
        <v>488</v>
      </c>
      <c r="F219" s="116">
        <v>1840</v>
      </c>
      <c r="G219" s="117">
        <v>31.39</v>
      </c>
      <c r="H219" s="117">
        <f>ROUND(IF($I$1="YES",(G219*(1+$I$2)),(G218*(1+$I$2))),2)</f>
        <v>30.74</v>
      </c>
      <c r="I219" s="118">
        <f>ROUND((H219*F219),0)</f>
        <v>56562</v>
      </c>
      <c r="J219" s="119">
        <f>SUM(I218:I219)</f>
        <v>63940</v>
      </c>
      <c r="K219" s="120" t="s">
        <v>78</v>
      </c>
      <c r="L219" s="118">
        <f>ROUND((VLOOKUP(K219,$D$2:$E$10,2,FALSE))*J219,0)</f>
        <v>12711</v>
      </c>
      <c r="M219" s="119">
        <f>ROUND(IF(K219="N",0,(J219*$I$3)),0)</f>
        <v>384</v>
      </c>
      <c r="N219" s="118">
        <f>ROUND((J219*$I$4),0)</f>
        <v>4891</v>
      </c>
      <c r="O219" s="118">
        <f>ROUND(J219*$I$5,0)</f>
        <v>1439</v>
      </c>
      <c r="P219" s="118">
        <f>ROUND(J219*$I$6,0)</f>
        <v>543</v>
      </c>
      <c r="Q219" s="121">
        <v>3</v>
      </c>
      <c r="R219" s="122">
        <f>ROUND(IF($Q219=0,0,((VLOOKUP($Q219,$K$3:$M$6,2,FALSE))*(1+$L$7))),0)</f>
        <v>11460</v>
      </c>
      <c r="S219" s="122">
        <f>ROUND(IF($Q219=0,0,((VLOOKUP($Q219,$K$3:$M$6,3,FALSE))*(1+$M$7))),0)</f>
        <v>964</v>
      </c>
      <c r="T219" s="118">
        <f>SUM(R219,S219)</f>
        <v>12424</v>
      </c>
      <c r="U219" s="118">
        <f>SUM(L219:P219,T219)</f>
        <v>32392</v>
      </c>
      <c r="V219" s="118">
        <f>SUM(U219,J219)</f>
        <v>96332</v>
      </c>
      <c r="W219" s="111"/>
      <c r="X219" s="123"/>
    </row>
    <row r="220" spans="1:24" x14ac:dyDescent="0.2">
      <c r="A220" s="100" t="s">
        <v>688</v>
      </c>
      <c r="B220" s="100" t="s">
        <v>484</v>
      </c>
      <c r="C220" s="100" t="s">
        <v>481</v>
      </c>
      <c r="D220" s="124"/>
      <c r="E220" s="102" t="s">
        <v>661</v>
      </c>
      <c r="F220" s="103">
        <v>1136</v>
      </c>
      <c r="G220" s="104">
        <v>30.74</v>
      </c>
      <c r="H220" s="104">
        <f>ROUND((G220*(1+$I$2)),2)</f>
        <v>30.74</v>
      </c>
      <c r="I220" s="126">
        <f>ROUND((H220*F220),0)</f>
        <v>34921</v>
      </c>
      <c r="J220" s="106"/>
      <c r="K220" s="127"/>
      <c r="L220" s="108"/>
      <c r="M220" s="109"/>
      <c r="N220" s="108"/>
      <c r="O220" s="108"/>
      <c r="P220" s="108"/>
      <c r="Q220" s="128"/>
      <c r="R220" s="111"/>
      <c r="S220" s="111"/>
      <c r="T220" s="112"/>
      <c r="U220" s="108"/>
      <c r="V220" s="108"/>
      <c r="W220" s="111"/>
      <c r="X220" s="52"/>
    </row>
    <row r="221" spans="1:24" x14ac:dyDescent="0.2">
      <c r="A221" s="113"/>
      <c r="B221" s="113"/>
      <c r="C221" s="113"/>
      <c r="D221" s="114" t="s">
        <v>482</v>
      </c>
      <c r="E221" s="115" t="s">
        <v>662</v>
      </c>
      <c r="F221" s="116">
        <v>944</v>
      </c>
      <c r="G221" s="117">
        <v>31.39</v>
      </c>
      <c r="H221" s="117">
        <f>ROUND(IF($I$1="YES",(G221*(1+$I$2)),(G220*(1+$I$2))),2)</f>
        <v>30.74</v>
      </c>
      <c r="I221" s="118">
        <f>ROUND((H221*F221),0)</f>
        <v>29019</v>
      </c>
      <c r="J221" s="119">
        <f>SUM(I220:I221)</f>
        <v>63940</v>
      </c>
      <c r="K221" s="120" t="s">
        <v>78</v>
      </c>
      <c r="L221" s="118">
        <f>ROUND((VLOOKUP(K221,$D$2:$E$10,2,FALSE))*J221,0)</f>
        <v>12711</v>
      </c>
      <c r="M221" s="119">
        <f>ROUND(IF(K221="N",0,(J221*$I$3)),0)</f>
        <v>384</v>
      </c>
      <c r="N221" s="118">
        <f>ROUND((J221*$I$4),0)</f>
        <v>4891</v>
      </c>
      <c r="O221" s="118">
        <f>ROUND(J221*$I$5,0)</f>
        <v>1439</v>
      </c>
      <c r="P221" s="118">
        <f>ROUND(J221*$I$6,0)</f>
        <v>543</v>
      </c>
      <c r="Q221" s="121">
        <v>3</v>
      </c>
      <c r="R221" s="122">
        <f>ROUND(IF($Q221=0,0,((VLOOKUP($Q221,$K$3:$M$6,2,FALSE))*(1+$L$7))),0)</f>
        <v>11460</v>
      </c>
      <c r="S221" s="122">
        <f>ROUND(IF($Q221=0,0,((VLOOKUP($Q221,$K$3:$M$6,3,FALSE))*(1+$M$7))),0)</f>
        <v>964</v>
      </c>
      <c r="T221" s="118">
        <f>SUM(R221,S221)</f>
        <v>12424</v>
      </c>
      <c r="U221" s="118">
        <f>SUM(L221:P221,T221)</f>
        <v>32392</v>
      </c>
      <c r="V221" s="118">
        <f>SUM(U221,J221)</f>
        <v>96332</v>
      </c>
      <c r="W221" s="111"/>
      <c r="X221" s="123"/>
    </row>
    <row r="222" spans="1:24" x14ac:dyDescent="0.2">
      <c r="A222" s="40" t="s">
        <v>489</v>
      </c>
      <c r="B222" s="100" t="s">
        <v>490</v>
      </c>
      <c r="C222" s="100" t="s">
        <v>491</v>
      </c>
      <c r="D222" s="124"/>
      <c r="E222" s="125" t="s">
        <v>493</v>
      </c>
      <c r="F222" s="103">
        <v>240</v>
      </c>
      <c r="G222" s="104">
        <v>22.3</v>
      </c>
      <c r="H222" s="104">
        <f>ROUND((G222*(1+$I$2)),2)</f>
        <v>22.3</v>
      </c>
      <c r="I222" s="126">
        <f t="shared" ref="I222:I225" si="34">ROUND((H222*F222),0)</f>
        <v>5352</v>
      </c>
      <c r="J222" s="106"/>
      <c r="K222" s="127"/>
      <c r="L222" s="108"/>
      <c r="M222" s="109"/>
      <c r="N222" s="108"/>
      <c r="O222" s="108"/>
      <c r="P222" s="108"/>
      <c r="Q222" s="128"/>
      <c r="R222" s="111"/>
      <c r="S222" s="111"/>
      <c r="T222" s="112"/>
      <c r="U222" s="108"/>
      <c r="V222" s="108"/>
      <c r="W222" s="111"/>
      <c r="X222" s="52"/>
    </row>
    <row r="223" spans="1:24" x14ac:dyDescent="0.2">
      <c r="A223" s="113"/>
      <c r="B223" s="113"/>
      <c r="C223" s="113"/>
      <c r="D223" s="114" t="s">
        <v>492</v>
      </c>
      <c r="E223" s="115" t="s">
        <v>494</v>
      </c>
      <c r="F223" s="116">
        <v>1840</v>
      </c>
      <c r="G223" s="117">
        <v>22.76</v>
      </c>
      <c r="H223" s="117">
        <f>ROUND(IF($I$1="YES",(G223*(1+$I$2)),(G222*(1+$I$2))),2)</f>
        <v>22.3</v>
      </c>
      <c r="I223" s="129">
        <f t="shared" si="34"/>
        <v>41032</v>
      </c>
      <c r="J223" s="119">
        <f>SUM(I222:I223)</f>
        <v>46384</v>
      </c>
      <c r="K223" s="120" t="s">
        <v>78</v>
      </c>
      <c r="L223" s="118">
        <f>ROUND((VLOOKUP(K223,$D$2:$E$10,2,FALSE))*J223,0)</f>
        <v>9221</v>
      </c>
      <c r="M223" s="119">
        <f>ROUND(IF(K223="N",0,(J223*$I$3)),0)</f>
        <v>278</v>
      </c>
      <c r="N223" s="118">
        <f>ROUND((J223*$I$4),0)</f>
        <v>3548</v>
      </c>
      <c r="O223" s="118">
        <f>ROUND(J223*$I$5,0)</f>
        <v>1044</v>
      </c>
      <c r="P223" s="118">
        <f>ROUND(J223*$I$6,0)</f>
        <v>394</v>
      </c>
      <c r="Q223" s="121">
        <v>3</v>
      </c>
      <c r="R223" s="122">
        <f>ROUND(IF($Q223=0,0,((VLOOKUP($Q223,$K$3:$M$6,2,FALSE))*(1+$L$7))),0)</f>
        <v>11460</v>
      </c>
      <c r="S223" s="122">
        <f>ROUND(IF($Q223=0,0,((VLOOKUP($Q223,$K$3:$M$6,3,FALSE))*(1+$M$7))),0)</f>
        <v>964</v>
      </c>
      <c r="T223" s="118">
        <f>SUM(R223,S223)</f>
        <v>12424</v>
      </c>
      <c r="U223" s="118">
        <f>SUM(L223:P223,T223)</f>
        <v>26909</v>
      </c>
      <c r="V223" s="118">
        <f>SUM(U223,J223)</f>
        <v>73293</v>
      </c>
      <c r="W223" s="111"/>
      <c r="X223" s="123"/>
    </row>
    <row r="224" spans="1:24" x14ac:dyDescent="0.2">
      <c r="A224" s="40" t="s">
        <v>495</v>
      </c>
      <c r="B224" s="100" t="s">
        <v>490</v>
      </c>
      <c r="C224" s="100" t="s">
        <v>496</v>
      </c>
      <c r="D224" s="124"/>
      <c r="E224" s="102" t="s">
        <v>497</v>
      </c>
      <c r="F224" s="103">
        <v>320</v>
      </c>
      <c r="G224" s="104">
        <v>21.22</v>
      </c>
      <c r="H224" s="104">
        <f>ROUND((G224*(1+$I$2)),2)</f>
        <v>21.22</v>
      </c>
      <c r="I224" s="126">
        <f t="shared" si="34"/>
        <v>6790</v>
      </c>
      <c r="J224" s="106"/>
      <c r="K224" s="127"/>
      <c r="L224" s="108"/>
      <c r="M224" s="109"/>
      <c r="N224" s="108"/>
      <c r="O224" s="108"/>
      <c r="P224" s="108"/>
      <c r="Q224" s="128"/>
      <c r="R224" s="111"/>
      <c r="S224" s="111"/>
      <c r="T224" s="112"/>
      <c r="U224" s="108"/>
      <c r="V224" s="108"/>
      <c r="W224" s="111"/>
      <c r="X224" s="52"/>
    </row>
    <row r="225" spans="1:24" x14ac:dyDescent="0.2">
      <c r="A225" s="113"/>
      <c r="B225" s="113"/>
      <c r="C225" s="113"/>
      <c r="D225" s="114" t="s">
        <v>469</v>
      </c>
      <c r="E225" s="115" t="s">
        <v>498</v>
      </c>
      <c r="F225" s="116">
        <v>1760</v>
      </c>
      <c r="G225" s="117">
        <v>21.85</v>
      </c>
      <c r="H225" s="117">
        <f>ROUND(IF($I$1="YES",(G225*(1+$I$2)),(G224*(1+$I$2))),2)</f>
        <v>21.22</v>
      </c>
      <c r="I225" s="129">
        <f t="shared" si="34"/>
        <v>37347</v>
      </c>
      <c r="J225" s="119">
        <f>SUM(I224:I225)</f>
        <v>44137</v>
      </c>
      <c r="K225" s="120" t="s">
        <v>78</v>
      </c>
      <c r="L225" s="118">
        <f>ROUND((VLOOKUP(K225,$D$2:$E$10,2,FALSE))*J225,0)</f>
        <v>8774</v>
      </c>
      <c r="M225" s="119">
        <f>ROUND(IF(K225="N",0,(J225*$I$3)),0)</f>
        <v>265</v>
      </c>
      <c r="N225" s="118">
        <f>ROUND((J225*$I$4),0)</f>
        <v>3376</v>
      </c>
      <c r="O225" s="118">
        <f>ROUND(J225*$I$5,0)</f>
        <v>993</v>
      </c>
      <c r="P225" s="118">
        <f>ROUND(J225*$I$6,0)</f>
        <v>375</v>
      </c>
      <c r="Q225" s="121">
        <v>2</v>
      </c>
      <c r="R225" s="122">
        <f>ROUND(IF($Q225=0,0,((VLOOKUP($Q225,$K$3:$M$6,2,FALSE))*(1+$L$7))),0)</f>
        <v>9458</v>
      </c>
      <c r="S225" s="122">
        <f>ROUND(IF($Q225=0,0,((VLOOKUP($Q225,$K$3:$M$6,3,FALSE))*(1+$M$7))),0)</f>
        <v>625</v>
      </c>
      <c r="T225" s="118">
        <f>SUM(R225,S225)</f>
        <v>10083</v>
      </c>
      <c r="U225" s="118">
        <f>SUM(L225:P225,T225)</f>
        <v>23866</v>
      </c>
      <c r="V225" s="118">
        <f>SUM(U225,J225)</f>
        <v>68003</v>
      </c>
      <c r="W225" s="111"/>
      <c r="X225" s="123"/>
    </row>
    <row r="226" spans="1:24" x14ac:dyDescent="0.2">
      <c r="A226" s="40" t="s">
        <v>689</v>
      </c>
      <c r="B226" s="100" t="s">
        <v>490</v>
      </c>
      <c r="C226" s="100" t="s">
        <v>690</v>
      </c>
      <c r="D226" s="124"/>
      <c r="E226" s="102" t="s">
        <v>663</v>
      </c>
      <c r="F226" s="103">
        <v>240</v>
      </c>
      <c r="G226" s="104">
        <v>19.38</v>
      </c>
      <c r="H226" s="104">
        <f>ROUND((G226*(1+$I$2)),2)</f>
        <v>19.38</v>
      </c>
      <c r="I226" s="126">
        <f t="shared" ref="I226:I227" si="35">ROUND((H226*F226),0)</f>
        <v>4651</v>
      </c>
      <c r="J226" s="106"/>
      <c r="K226" s="127"/>
      <c r="L226" s="108"/>
      <c r="M226" s="109"/>
      <c r="N226" s="108"/>
      <c r="O226" s="108"/>
      <c r="P226" s="108"/>
      <c r="Q226" s="128"/>
      <c r="R226" s="111"/>
      <c r="S226" s="111"/>
      <c r="T226" s="112"/>
      <c r="U226" s="108"/>
      <c r="V226" s="108"/>
      <c r="W226" s="111"/>
      <c r="X226" s="52"/>
    </row>
    <row r="227" spans="1:24" x14ac:dyDescent="0.2">
      <c r="A227" s="113"/>
      <c r="B227" s="113"/>
      <c r="C227" s="113"/>
      <c r="D227" s="114">
        <v>41321</v>
      </c>
      <c r="E227" s="115" t="s">
        <v>503</v>
      </c>
      <c r="F227" s="116">
        <v>1840</v>
      </c>
      <c r="G227" s="117">
        <v>19.68</v>
      </c>
      <c r="H227" s="117">
        <f>ROUND(IF($I$1="YES",(G227*(1+$I$2)),(G226*(1+$I$2))),2)</f>
        <v>19.38</v>
      </c>
      <c r="I227" s="129">
        <f t="shared" si="35"/>
        <v>35659</v>
      </c>
      <c r="J227" s="119">
        <f>SUM(I226:I227)</f>
        <v>40310</v>
      </c>
      <c r="K227" s="120" t="s">
        <v>78</v>
      </c>
      <c r="L227" s="118">
        <f>ROUND((VLOOKUP(K227,$D$2:$E$10,2,FALSE))*J227,0)</f>
        <v>8014</v>
      </c>
      <c r="M227" s="119">
        <f>ROUND(IF(K227="N",0,(J227*$I$3)),0)</f>
        <v>242</v>
      </c>
      <c r="N227" s="118">
        <f>ROUND((J227*$I$4),0)</f>
        <v>3084</v>
      </c>
      <c r="O227" s="118">
        <f>ROUND(J227*$I$5,0)</f>
        <v>907</v>
      </c>
      <c r="P227" s="118">
        <f>ROUND(J227*$I$6,0)</f>
        <v>343</v>
      </c>
      <c r="Q227" s="121">
        <v>2</v>
      </c>
      <c r="R227" s="122">
        <f>ROUND(IF($Q227=0,0,((VLOOKUP($Q227,$K$3:$M$6,2,FALSE))*(1+$L$7))),0)</f>
        <v>9458</v>
      </c>
      <c r="S227" s="122">
        <f>ROUND(IF($Q227=0,0,((VLOOKUP($Q227,$K$3:$M$6,3,FALSE))*(1+$M$7))),0)</f>
        <v>625</v>
      </c>
      <c r="T227" s="118">
        <f>SUM(R227,S227)</f>
        <v>10083</v>
      </c>
      <c r="U227" s="118">
        <f>SUM(L227:P227,T227)</f>
        <v>22673</v>
      </c>
      <c r="V227" s="118">
        <f>SUM(U227,J227)</f>
        <v>62983</v>
      </c>
      <c r="W227" s="111"/>
      <c r="X227" s="123"/>
    </row>
    <row r="228" spans="1:24" x14ac:dyDescent="0.2">
      <c r="A228" s="40" t="s">
        <v>499</v>
      </c>
      <c r="B228" s="100" t="s">
        <v>490</v>
      </c>
      <c r="C228" s="100" t="s">
        <v>691</v>
      </c>
      <c r="D228" s="124"/>
      <c r="E228" s="102" t="s">
        <v>500</v>
      </c>
      <c r="F228" s="103">
        <v>240</v>
      </c>
      <c r="G228" s="104">
        <v>23.69</v>
      </c>
      <c r="H228" s="104">
        <f>ROUND((G228*(1+$I$2)),2)</f>
        <v>23.69</v>
      </c>
      <c r="I228" s="126">
        <f t="shared" ref="I228:I229" si="36">ROUND((H228*F228),0)</f>
        <v>5686</v>
      </c>
      <c r="J228" s="106"/>
      <c r="K228" s="127"/>
      <c r="L228" s="108"/>
      <c r="M228" s="109"/>
      <c r="N228" s="108"/>
      <c r="O228" s="108"/>
      <c r="P228" s="108"/>
      <c r="Q228" s="128"/>
      <c r="R228" s="111"/>
      <c r="S228" s="111"/>
      <c r="T228" s="112"/>
      <c r="U228" s="108"/>
      <c r="V228" s="108"/>
      <c r="W228" s="111"/>
      <c r="X228" s="52"/>
    </row>
    <row r="229" spans="1:24" x14ac:dyDescent="0.2">
      <c r="A229" s="113"/>
      <c r="B229" s="113"/>
      <c r="C229" s="113"/>
      <c r="D229" s="114">
        <v>41315</v>
      </c>
      <c r="E229" s="115" t="s">
        <v>501</v>
      </c>
      <c r="F229" s="116">
        <v>1840</v>
      </c>
      <c r="G229" s="117">
        <v>24.17</v>
      </c>
      <c r="H229" s="117">
        <f>ROUND(IF($I$1="YES",(G229*(1+$I$2)),(G228*(1+$I$2))),2)</f>
        <v>23.69</v>
      </c>
      <c r="I229" s="129">
        <f t="shared" si="36"/>
        <v>43590</v>
      </c>
      <c r="J229" s="119">
        <f>SUM(I228:I229)</f>
        <v>49276</v>
      </c>
      <c r="K229" s="120" t="s">
        <v>78</v>
      </c>
      <c r="L229" s="118">
        <f>ROUND((VLOOKUP(K229,$D$2:$E$10,2,FALSE))*J229,0)</f>
        <v>9796</v>
      </c>
      <c r="M229" s="119">
        <f>ROUND(IF(K229="N",0,(J229*$I$3)),0)</f>
        <v>296</v>
      </c>
      <c r="N229" s="118">
        <f>ROUND((J229*$I$4),0)</f>
        <v>3770</v>
      </c>
      <c r="O229" s="118">
        <f>ROUND(J229*$I$5,0)</f>
        <v>1109</v>
      </c>
      <c r="P229" s="118">
        <f>ROUND(J229*$I$6,0)</f>
        <v>419</v>
      </c>
      <c r="Q229" s="121">
        <v>3</v>
      </c>
      <c r="R229" s="122">
        <f>ROUND(IF($Q229=0,0,((VLOOKUP($Q229,$K$3:$M$6,2,FALSE))*(1+$L$7))),0)</f>
        <v>11460</v>
      </c>
      <c r="S229" s="122">
        <f>ROUND(IF($Q229=0,0,((VLOOKUP($Q229,$K$3:$M$6,3,FALSE))*(1+$M$7))),0)</f>
        <v>964</v>
      </c>
      <c r="T229" s="118">
        <f>SUM(R229,S229)</f>
        <v>12424</v>
      </c>
      <c r="U229" s="118">
        <f>SUM(L229:P229,T229)</f>
        <v>27814</v>
      </c>
      <c r="V229" s="118">
        <f>SUM(U229,J229)</f>
        <v>77090</v>
      </c>
      <c r="W229" s="111"/>
      <c r="X229" s="123"/>
    </row>
    <row r="230" spans="1:24" x14ac:dyDescent="0.2">
      <c r="A230" s="40" t="s">
        <v>502</v>
      </c>
      <c r="B230" s="100" t="s">
        <v>490</v>
      </c>
      <c r="C230" s="100" t="s">
        <v>693</v>
      </c>
      <c r="D230" s="124"/>
      <c r="E230" s="102" t="s">
        <v>663</v>
      </c>
      <c r="F230" s="103">
        <v>240</v>
      </c>
      <c r="G230" s="104">
        <v>19.38</v>
      </c>
      <c r="H230" s="104">
        <f>ROUND((G230*(1+$I$2)),2)</f>
        <v>19.38</v>
      </c>
      <c r="I230" s="126">
        <f t="shared" ref="I230:I231" si="37">ROUND((H230*F230),0)</f>
        <v>4651</v>
      </c>
      <c r="J230" s="106"/>
      <c r="K230" s="127"/>
      <c r="L230" s="108"/>
      <c r="M230" s="109"/>
      <c r="N230" s="108"/>
      <c r="O230" s="108"/>
      <c r="P230" s="108"/>
      <c r="Q230" s="128"/>
      <c r="R230" s="111"/>
      <c r="S230" s="111"/>
      <c r="T230" s="112"/>
      <c r="U230" s="108"/>
      <c r="V230" s="108"/>
      <c r="W230" s="111"/>
      <c r="X230" s="52"/>
    </row>
    <row r="231" spans="1:24" x14ac:dyDescent="0.2">
      <c r="A231" s="113"/>
      <c r="B231" s="113"/>
      <c r="C231" s="113"/>
      <c r="D231" s="114">
        <v>41321</v>
      </c>
      <c r="E231" s="115" t="s">
        <v>503</v>
      </c>
      <c r="F231" s="116">
        <v>1840</v>
      </c>
      <c r="G231" s="117">
        <v>19.68</v>
      </c>
      <c r="H231" s="117">
        <f>ROUND(IF($I$1="YES",(G231*(1+$I$2)),(G230*(1+$I$2))),2)</f>
        <v>19.38</v>
      </c>
      <c r="I231" s="129">
        <f t="shared" si="37"/>
        <v>35659</v>
      </c>
      <c r="J231" s="119">
        <f>SUM(I230:I231)</f>
        <v>40310</v>
      </c>
      <c r="K231" s="120" t="s">
        <v>104</v>
      </c>
      <c r="L231" s="118">
        <f>ROUND((VLOOKUP(K231,$D$2:$E$10,2,FALSE))*J231,0)</f>
        <v>7316</v>
      </c>
      <c r="M231" s="119">
        <f>ROUND(IF(K231="N",0,(J231*$I$3)),0)</f>
        <v>242</v>
      </c>
      <c r="N231" s="118">
        <f>ROUND((J231*$I$4),0)</f>
        <v>3084</v>
      </c>
      <c r="O231" s="118">
        <f>ROUND(J231*$I$5,0)</f>
        <v>907</v>
      </c>
      <c r="P231" s="118">
        <f>ROUND(J231*$I$6,0)</f>
        <v>343</v>
      </c>
      <c r="Q231" s="121">
        <v>3</v>
      </c>
      <c r="R231" s="122">
        <f>ROUND(IF($Q231=0,0,((VLOOKUP($Q231,$K$3:$M$6,2,FALSE))*(1+$L$7))),0)</f>
        <v>11460</v>
      </c>
      <c r="S231" s="122">
        <f>ROUND(IF($Q231=0,0,((VLOOKUP($Q231,$K$3:$M$6,3,FALSE))*(1+$M$7))),0)</f>
        <v>964</v>
      </c>
      <c r="T231" s="118">
        <f>SUM(R231,S231)</f>
        <v>12424</v>
      </c>
      <c r="U231" s="118">
        <f>SUM(L231:P231,T231)</f>
        <v>24316</v>
      </c>
      <c r="V231" s="118">
        <f>SUM(U231,J231)</f>
        <v>64626</v>
      </c>
      <c r="W231" s="111"/>
      <c r="X231" s="123"/>
    </row>
    <row r="232" spans="1:24" x14ac:dyDescent="0.2">
      <c r="A232" s="100" t="s">
        <v>692</v>
      </c>
      <c r="B232" s="100" t="s">
        <v>490</v>
      </c>
      <c r="C232" s="100" t="s">
        <v>577</v>
      </c>
      <c r="D232" s="101"/>
      <c r="E232" s="102" t="s">
        <v>663</v>
      </c>
      <c r="F232" s="103">
        <v>240</v>
      </c>
      <c r="G232" s="104">
        <v>19.39</v>
      </c>
      <c r="H232" s="104">
        <f>ROUND((G232*(1+$I$2)),2)</f>
        <v>19.39</v>
      </c>
      <c r="I232" s="126">
        <f>ROUND((H232*F232),0)</f>
        <v>4654</v>
      </c>
      <c r="J232" s="106"/>
      <c r="K232" s="127"/>
      <c r="L232" s="108"/>
      <c r="M232" s="109"/>
      <c r="N232" s="108"/>
      <c r="O232" s="108"/>
      <c r="P232" s="108"/>
      <c r="Q232" s="128"/>
      <c r="R232" s="111"/>
      <c r="S232" s="111"/>
      <c r="T232" s="112"/>
      <c r="U232" s="108"/>
      <c r="V232" s="108"/>
      <c r="W232" s="111"/>
      <c r="X232" s="52"/>
    </row>
    <row r="233" spans="1:24" x14ac:dyDescent="0.2">
      <c r="A233" s="113"/>
      <c r="B233" s="113"/>
      <c r="C233" s="113"/>
      <c r="D233" s="114">
        <v>41321</v>
      </c>
      <c r="E233" s="115" t="s">
        <v>503</v>
      </c>
      <c r="F233" s="116">
        <v>1840</v>
      </c>
      <c r="G233" s="117">
        <v>19.68</v>
      </c>
      <c r="H233" s="117">
        <f>ROUND(IF($I$1="YES",(G233*(1+$I$2)),(G232*(1+$I$2))),2)</f>
        <v>19.39</v>
      </c>
      <c r="I233" s="118">
        <f>ROUND((H233*F233),0)</f>
        <v>35678</v>
      </c>
      <c r="J233" s="119">
        <f>SUM(I232:I233)</f>
        <v>40332</v>
      </c>
      <c r="K233" s="120" t="s">
        <v>78</v>
      </c>
      <c r="L233" s="118">
        <f>ROUND((VLOOKUP(K233,$D$2:$E$10,2,FALSE))*J233,0)</f>
        <v>8018</v>
      </c>
      <c r="M233" s="119">
        <f>ROUND(IF(K233="N",0,(J233*$I$3)),0)</f>
        <v>242</v>
      </c>
      <c r="N233" s="118">
        <f>ROUND((J233*$I$4),0)</f>
        <v>3085</v>
      </c>
      <c r="O233" s="118">
        <f>ROUND(J233*$I$5,0)</f>
        <v>907</v>
      </c>
      <c r="P233" s="118">
        <f>ROUND(J233*$I$6,0)</f>
        <v>343</v>
      </c>
      <c r="Q233" s="121">
        <v>2</v>
      </c>
      <c r="R233" s="122">
        <f>ROUND(IF($Q233=0,0,((VLOOKUP($Q233,$K$3:$M$6,2,FALSE))*(1+$L$7))),0)</f>
        <v>9458</v>
      </c>
      <c r="S233" s="122">
        <f>ROUND(IF($Q233=0,0,((VLOOKUP($Q233,$K$3:$M$6,3,FALSE))*(1+$M$7))),0)</f>
        <v>625</v>
      </c>
      <c r="T233" s="118">
        <f>SUM(R233,S233)</f>
        <v>10083</v>
      </c>
      <c r="U233" s="118">
        <f>SUM(L233:P233,T233)</f>
        <v>22678</v>
      </c>
      <c r="V233" s="118">
        <f>SUM(U233,J233)</f>
        <v>63010</v>
      </c>
      <c r="W233" s="111"/>
      <c r="X233" s="123"/>
    </row>
    <row r="234" spans="1:24" x14ac:dyDescent="0.2">
      <c r="A234" s="40" t="s">
        <v>505</v>
      </c>
      <c r="B234" s="100" t="s">
        <v>490</v>
      </c>
      <c r="C234" s="100" t="s">
        <v>506</v>
      </c>
      <c r="D234" s="124"/>
      <c r="E234" s="125" t="s">
        <v>508</v>
      </c>
      <c r="F234" s="103">
        <v>960</v>
      </c>
      <c r="G234" s="104">
        <v>20.61</v>
      </c>
      <c r="H234" s="104">
        <f>ROUND((G234*(1+$I$2)),2)</f>
        <v>20.61</v>
      </c>
      <c r="I234" s="126">
        <f t="shared" ref="I234:I239" si="38">ROUND((H234*F234),0)</f>
        <v>19786</v>
      </c>
      <c r="J234" s="106"/>
      <c r="K234" s="127"/>
      <c r="L234" s="108"/>
      <c r="M234" s="109"/>
      <c r="N234" s="108"/>
      <c r="O234" s="108"/>
      <c r="P234" s="108"/>
      <c r="Q234" s="128"/>
      <c r="R234" s="111"/>
      <c r="S234" s="111"/>
      <c r="T234" s="112"/>
      <c r="U234" s="108"/>
      <c r="V234" s="108"/>
      <c r="W234" s="111"/>
      <c r="X234" s="52"/>
    </row>
    <row r="235" spans="1:24" x14ac:dyDescent="0.2">
      <c r="A235" s="113"/>
      <c r="B235" s="113"/>
      <c r="C235" s="113"/>
      <c r="D235" s="114" t="s">
        <v>507</v>
      </c>
      <c r="E235" s="115" t="s">
        <v>497</v>
      </c>
      <c r="F235" s="116">
        <v>1120</v>
      </c>
      <c r="G235" s="117">
        <v>21.22</v>
      </c>
      <c r="H235" s="117">
        <f>ROUND(IF($I$1="YES",(G235*(1+$I$2)),(G234*(1+$I$2))),2)</f>
        <v>20.61</v>
      </c>
      <c r="I235" s="129">
        <f t="shared" si="38"/>
        <v>23083</v>
      </c>
      <c r="J235" s="119">
        <f>SUM(I234:I235)</f>
        <v>42869</v>
      </c>
      <c r="K235" s="120" t="s">
        <v>78</v>
      </c>
      <c r="L235" s="118">
        <f>ROUND((VLOOKUP(K235,$D$2:$E$10,2,FALSE))*J235,0)</f>
        <v>8522</v>
      </c>
      <c r="M235" s="119">
        <f>ROUND(IF(K235="N",0,(J235*$I$3)),0)</f>
        <v>257</v>
      </c>
      <c r="N235" s="118">
        <f>ROUND((J235*$I$4),0)</f>
        <v>3279</v>
      </c>
      <c r="O235" s="118">
        <f>ROUND(J235*$I$5,0)</f>
        <v>965</v>
      </c>
      <c r="P235" s="118">
        <f>ROUND(J235*$I$6,0)</f>
        <v>364</v>
      </c>
      <c r="Q235" s="121">
        <v>1</v>
      </c>
      <c r="R235" s="122">
        <f>ROUND(IF($Q235=0,0,((VLOOKUP($Q235,$K$3:$M$6,2,FALSE))*(1+$L$7))),0)</f>
        <v>4019</v>
      </c>
      <c r="S235" s="122">
        <f>ROUND(IF($Q235=0,0,((VLOOKUP($Q235,$K$3:$M$6,3,FALSE))*(1+$M$7))),0)</f>
        <v>324</v>
      </c>
      <c r="T235" s="118">
        <f>SUM(R235,S235)</f>
        <v>4343</v>
      </c>
      <c r="U235" s="118">
        <f>SUM(L235:P235,T235)</f>
        <v>17730</v>
      </c>
      <c r="V235" s="118">
        <f>SUM(U235,J235)</f>
        <v>60599</v>
      </c>
      <c r="W235" s="111"/>
      <c r="X235" s="123"/>
    </row>
    <row r="236" spans="1:24" x14ac:dyDescent="0.2">
      <c r="A236" s="40" t="s">
        <v>509</v>
      </c>
      <c r="B236" s="100" t="s">
        <v>490</v>
      </c>
      <c r="C236" s="100" t="s">
        <v>510</v>
      </c>
      <c r="D236" s="124"/>
      <c r="E236" s="102" t="s">
        <v>504</v>
      </c>
      <c r="F236" s="103">
        <v>16</v>
      </c>
      <c r="G236" s="104">
        <v>19.98</v>
      </c>
      <c r="H236" s="104">
        <f>ROUND((G236*(1+$I$2)),2)</f>
        <v>19.98</v>
      </c>
      <c r="I236" s="126">
        <f t="shared" si="38"/>
        <v>320</v>
      </c>
      <c r="J236" s="106"/>
      <c r="K236" s="127"/>
      <c r="L236" s="108"/>
      <c r="M236" s="109"/>
      <c r="N236" s="108"/>
      <c r="O236" s="108"/>
      <c r="P236" s="108"/>
      <c r="Q236" s="128"/>
      <c r="R236" s="111"/>
      <c r="S236" s="111"/>
      <c r="T236" s="112"/>
      <c r="U236" s="108"/>
      <c r="V236" s="108"/>
      <c r="W236" s="111"/>
      <c r="X236" s="52"/>
    </row>
    <row r="237" spans="1:24" x14ac:dyDescent="0.2">
      <c r="A237" s="113"/>
      <c r="B237" s="113"/>
      <c r="C237" s="113"/>
      <c r="D237" s="114" t="s">
        <v>511</v>
      </c>
      <c r="E237" s="115" t="s">
        <v>508</v>
      </c>
      <c r="F237" s="116">
        <v>2064</v>
      </c>
      <c r="G237" s="117">
        <v>20.61</v>
      </c>
      <c r="H237" s="117">
        <f>ROUND(IF($I$1="YES",(G237*(1+$I$2)),(G236*(1+$I$2))),2)</f>
        <v>19.98</v>
      </c>
      <c r="I237" s="129">
        <f t="shared" si="38"/>
        <v>41239</v>
      </c>
      <c r="J237" s="119">
        <f>SUM(I236:I237)</f>
        <v>41559</v>
      </c>
      <c r="K237" s="120" t="s">
        <v>78</v>
      </c>
      <c r="L237" s="118">
        <f>ROUND((VLOOKUP(K237,$D$2:$E$10,2,FALSE))*J237,0)</f>
        <v>8262</v>
      </c>
      <c r="M237" s="119">
        <f>ROUND(IF(K237="N",0,(J237*$I$3)),0)</f>
        <v>249</v>
      </c>
      <c r="N237" s="118">
        <f>ROUND((J237*$I$4),0)</f>
        <v>3179</v>
      </c>
      <c r="O237" s="118">
        <f>ROUND(J237*$I$5,0)</f>
        <v>935</v>
      </c>
      <c r="P237" s="118">
        <f>ROUND(J237*$I$6,0)</f>
        <v>353</v>
      </c>
      <c r="Q237" s="121">
        <v>2</v>
      </c>
      <c r="R237" s="122">
        <f>ROUND(IF($Q237=0,0,((VLOOKUP($Q237,$K$3:$M$6,2,FALSE))*(1+$L$7))),0)</f>
        <v>9458</v>
      </c>
      <c r="S237" s="122">
        <f>ROUND(IF($Q237=0,0,((VLOOKUP($Q237,$K$3:$M$6,3,FALSE))*(1+$M$7))),0)</f>
        <v>625</v>
      </c>
      <c r="T237" s="118">
        <f>SUM(R237,S237)</f>
        <v>10083</v>
      </c>
      <c r="U237" s="118">
        <f>SUM(L237:P237,T237)</f>
        <v>23061</v>
      </c>
      <c r="V237" s="118">
        <f>SUM(U237,J237)</f>
        <v>64620</v>
      </c>
      <c r="W237" s="111"/>
      <c r="X237" s="123"/>
    </row>
    <row r="238" spans="1:24" x14ac:dyDescent="0.2">
      <c r="A238" s="100" t="s">
        <v>512</v>
      </c>
      <c r="B238" s="100" t="s">
        <v>490</v>
      </c>
      <c r="C238" s="100" t="s">
        <v>513</v>
      </c>
      <c r="D238" s="124"/>
      <c r="E238" s="102" t="s">
        <v>504</v>
      </c>
      <c r="F238" s="103">
        <v>160</v>
      </c>
      <c r="G238" s="104">
        <v>19.98</v>
      </c>
      <c r="H238" s="104">
        <f>ROUND((G238*(1+$I$2)),2)</f>
        <v>19.98</v>
      </c>
      <c r="I238" s="126">
        <f t="shared" si="38"/>
        <v>3197</v>
      </c>
      <c r="J238" s="106"/>
      <c r="K238" s="127"/>
      <c r="L238" s="108"/>
      <c r="M238" s="109"/>
      <c r="N238" s="108"/>
      <c r="O238" s="108"/>
      <c r="P238" s="108"/>
      <c r="Q238" s="128"/>
      <c r="R238" s="111"/>
      <c r="S238" s="111"/>
      <c r="T238" s="112"/>
      <c r="U238" s="108"/>
      <c r="V238" s="108"/>
      <c r="W238" s="111"/>
      <c r="X238" s="52"/>
    </row>
    <row r="239" spans="1:24" x14ac:dyDescent="0.2">
      <c r="A239" s="113"/>
      <c r="B239" s="113"/>
      <c r="C239" s="113"/>
      <c r="D239" s="114" t="s">
        <v>514</v>
      </c>
      <c r="E239" s="115" t="s">
        <v>508</v>
      </c>
      <c r="F239" s="116">
        <v>1920</v>
      </c>
      <c r="G239" s="117">
        <v>20.61</v>
      </c>
      <c r="H239" s="117">
        <f>ROUND(IF($I$1="YES",(G239*(1+$I$2)),(G238*(1+$I$2))),2)</f>
        <v>19.98</v>
      </c>
      <c r="I239" s="129">
        <f t="shared" si="38"/>
        <v>38362</v>
      </c>
      <c r="J239" s="119">
        <f>SUM(I238:I239)</f>
        <v>41559</v>
      </c>
      <c r="K239" s="120" t="s">
        <v>78</v>
      </c>
      <c r="L239" s="118">
        <f>ROUND((VLOOKUP(K239,$D$2:$E$10,2,FALSE))*J239,0)</f>
        <v>8262</v>
      </c>
      <c r="M239" s="119">
        <f>ROUND(IF(K239="N",0,(J239*$I$3)),0)</f>
        <v>249</v>
      </c>
      <c r="N239" s="118">
        <f>ROUND((J239*$I$4),0)</f>
        <v>3179</v>
      </c>
      <c r="O239" s="118">
        <f>ROUND(J239*$I$5,0)</f>
        <v>935</v>
      </c>
      <c r="P239" s="118">
        <f>ROUND(J239*$I$6,0)</f>
        <v>353</v>
      </c>
      <c r="Q239" s="121">
        <v>3</v>
      </c>
      <c r="R239" s="122">
        <f>ROUND(IF($Q239=0,0,((VLOOKUP($Q239,$K$3:$M$6,2,FALSE))*(1+$L$7))),0)</f>
        <v>11460</v>
      </c>
      <c r="S239" s="122">
        <f>ROUND(IF($Q239=0,0,((VLOOKUP($Q239,$K$3:$M$6,3,FALSE))*(1+$M$7))),0)</f>
        <v>964</v>
      </c>
      <c r="T239" s="118">
        <f>SUM(R239,S239)</f>
        <v>12424</v>
      </c>
      <c r="U239" s="118">
        <f>SUM(L239:P239,T239)</f>
        <v>25402</v>
      </c>
      <c r="V239" s="118">
        <f>SUM(U239,J239)</f>
        <v>66961</v>
      </c>
      <c r="W239" s="111"/>
      <c r="X239" s="123"/>
    </row>
    <row r="240" spans="1:24" x14ac:dyDescent="0.2">
      <c r="A240" s="100" t="s">
        <v>515</v>
      </c>
      <c r="B240" s="100" t="s">
        <v>490</v>
      </c>
      <c r="C240" s="100" t="s">
        <v>516</v>
      </c>
      <c r="D240" s="101"/>
      <c r="E240" s="102" t="s">
        <v>504</v>
      </c>
      <c r="F240" s="103">
        <v>160</v>
      </c>
      <c r="G240" s="104">
        <v>19.98</v>
      </c>
      <c r="H240" s="104">
        <f>ROUND((G240*(1+$I$2)),2)</f>
        <v>19.98</v>
      </c>
      <c r="I240" s="126">
        <f>ROUND((H240*F240),0)</f>
        <v>3197</v>
      </c>
      <c r="J240" s="106"/>
      <c r="K240" s="127"/>
      <c r="L240" s="108"/>
      <c r="M240" s="109"/>
      <c r="N240" s="108"/>
      <c r="O240" s="108"/>
      <c r="P240" s="108"/>
      <c r="Q240" s="128"/>
      <c r="R240" s="111"/>
      <c r="S240" s="111"/>
      <c r="T240" s="112"/>
      <c r="U240" s="108"/>
      <c r="V240" s="108"/>
      <c r="W240" s="111"/>
      <c r="X240" s="52"/>
    </row>
    <row r="241" spans="1:24" x14ac:dyDescent="0.2">
      <c r="A241" s="113"/>
      <c r="B241" s="113"/>
      <c r="C241" s="113"/>
      <c r="D241" s="114" t="s">
        <v>514</v>
      </c>
      <c r="E241" s="115" t="s">
        <v>508</v>
      </c>
      <c r="F241" s="116">
        <v>1920</v>
      </c>
      <c r="G241" s="117">
        <v>20.61</v>
      </c>
      <c r="H241" s="117">
        <f>ROUND(IF($I$1="YES",(G241*(1+$I$2)),(G240*(1+$I$2))),2)</f>
        <v>19.98</v>
      </c>
      <c r="I241" s="118">
        <f>ROUND((H241*F241),0)</f>
        <v>38362</v>
      </c>
      <c r="J241" s="119">
        <f>SUM(I240:I241)</f>
        <v>41559</v>
      </c>
      <c r="K241" s="120" t="s">
        <v>78</v>
      </c>
      <c r="L241" s="118">
        <f>ROUND((VLOOKUP(K241,$D$2:$E$10,2,FALSE))*J241,0)</f>
        <v>8262</v>
      </c>
      <c r="M241" s="119">
        <f>ROUND(IF(K241="N",0,(J241*$I$3)),0)</f>
        <v>249</v>
      </c>
      <c r="N241" s="118">
        <f>ROUND((J241*$I$4),0)</f>
        <v>3179</v>
      </c>
      <c r="O241" s="118">
        <f>ROUND(J241*$I$5,0)</f>
        <v>935</v>
      </c>
      <c r="P241" s="118">
        <f>ROUND(J241*$I$6,0)</f>
        <v>353</v>
      </c>
      <c r="Q241" s="121">
        <v>1</v>
      </c>
      <c r="R241" s="122">
        <f>ROUND(IF($Q241=0,0,((VLOOKUP($Q241,$K$3:$M$6,2,FALSE))*(1+$L$7))),0)</f>
        <v>4019</v>
      </c>
      <c r="S241" s="122">
        <f>ROUND(IF($Q241=0,0,((VLOOKUP($Q241,$K$3:$M$6,3,FALSE))*(1+$M$7))),0)</f>
        <v>324</v>
      </c>
      <c r="T241" s="118">
        <f>SUM(R241,S241)</f>
        <v>4343</v>
      </c>
      <c r="U241" s="118">
        <f>SUM(L241:P241,T241)</f>
        <v>17321</v>
      </c>
      <c r="V241" s="118">
        <f>SUM(U241,J241)</f>
        <v>58880</v>
      </c>
      <c r="W241" s="111"/>
      <c r="X241" s="123"/>
    </row>
    <row r="242" spans="1:24" x14ac:dyDescent="0.2">
      <c r="A242" s="40" t="s">
        <v>694</v>
      </c>
      <c r="B242" s="100" t="s">
        <v>518</v>
      </c>
      <c r="C242" s="100" t="s">
        <v>695</v>
      </c>
      <c r="D242" s="124"/>
      <c r="E242" s="125" t="s">
        <v>696</v>
      </c>
      <c r="F242" s="103">
        <v>0</v>
      </c>
      <c r="G242" s="104">
        <v>21.57</v>
      </c>
      <c r="H242" s="104">
        <f>ROUND((G242*(1+$I$2)),2)</f>
        <v>21.57</v>
      </c>
      <c r="I242" s="126">
        <f t="shared" ref="I242:I243" si="39">ROUND((H242*F242),0)</f>
        <v>0</v>
      </c>
      <c r="J242" s="106"/>
      <c r="K242" s="127"/>
      <c r="L242" s="108"/>
      <c r="M242" s="109"/>
      <c r="N242" s="108"/>
      <c r="O242" s="108"/>
      <c r="P242" s="108"/>
      <c r="Q242" s="128"/>
      <c r="R242" s="111"/>
      <c r="S242" s="111"/>
      <c r="T242" s="112"/>
      <c r="U242" s="108"/>
      <c r="V242" s="108"/>
      <c r="W242" s="111"/>
      <c r="X242" s="52"/>
    </row>
    <row r="243" spans="1:24" x14ac:dyDescent="0.2">
      <c r="A243" s="113"/>
      <c r="B243" s="113"/>
      <c r="C243" s="113"/>
      <c r="D243" s="114" t="s">
        <v>360</v>
      </c>
      <c r="E243" s="115" t="s">
        <v>697</v>
      </c>
      <c r="F243" s="116">
        <v>0</v>
      </c>
      <c r="G243" s="117">
        <v>22.24</v>
      </c>
      <c r="H243" s="117">
        <f>ROUND(IF($I$1="YES",(G243*(1+$I$2)),(G242*(1+$I$2))),2)</f>
        <v>21.57</v>
      </c>
      <c r="I243" s="129">
        <f t="shared" si="39"/>
        <v>0</v>
      </c>
      <c r="J243" s="119">
        <f>SUM(I242:I243)</f>
        <v>0</v>
      </c>
      <c r="K243" s="120" t="s">
        <v>104</v>
      </c>
      <c r="L243" s="118">
        <f>ROUND((VLOOKUP(K243,$D$2:$E$10,2,FALSE))*J243,0)</f>
        <v>0</v>
      </c>
      <c r="M243" s="119">
        <f>ROUND(IF(K243="N",0,(J243*$I$3)),0)</f>
        <v>0</v>
      </c>
      <c r="N243" s="118">
        <f>ROUND((J243*$I$4),0)</f>
        <v>0</v>
      </c>
      <c r="O243" s="118">
        <f>ROUND(J243*$I$5,0)</f>
        <v>0</v>
      </c>
      <c r="P243" s="118">
        <f>ROUND(J243*$I$6,0)</f>
        <v>0</v>
      </c>
      <c r="Q243" s="121" t="s">
        <v>645</v>
      </c>
      <c r="R243" s="122"/>
      <c r="S243" s="122"/>
      <c r="T243" s="118"/>
      <c r="U243" s="118"/>
      <c r="V243" s="118"/>
      <c r="W243" s="111"/>
      <c r="X243" s="123"/>
    </row>
    <row r="244" spans="1:24" x14ac:dyDescent="0.2">
      <c r="A244" s="40" t="s">
        <v>517</v>
      </c>
      <c r="B244" s="100" t="s">
        <v>518</v>
      </c>
      <c r="C244" s="100" t="s">
        <v>519</v>
      </c>
      <c r="D244" s="124"/>
      <c r="E244" s="125" t="s">
        <v>520</v>
      </c>
      <c r="F244" s="103">
        <v>240</v>
      </c>
      <c r="G244" s="104">
        <v>21.57</v>
      </c>
      <c r="H244" s="104">
        <f>ROUND((G244*(1+$I$2)),2)</f>
        <v>21.57</v>
      </c>
      <c r="I244" s="126">
        <f t="shared" ref="I244:I251" si="40">ROUND((H244*F244),0)</f>
        <v>5177</v>
      </c>
      <c r="J244" s="106"/>
      <c r="K244" s="127"/>
      <c r="L244" s="108"/>
      <c r="M244" s="109"/>
      <c r="N244" s="108"/>
      <c r="O244" s="108"/>
      <c r="P244" s="108"/>
      <c r="Q244" s="128"/>
      <c r="R244" s="111"/>
      <c r="S244" s="111"/>
      <c r="T244" s="112"/>
      <c r="U244" s="108"/>
      <c r="V244" s="108"/>
      <c r="W244" s="111"/>
      <c r="X244" s="52"/>
    </row>
    <row r="245" spans="1:24" x14ac:dyDescent="0.2">
      <c r="A245" s="113"/>
      <c r="B245" s="113"/>
      <c r="C245" s="113"/>
      <c r="D245" s="114" t="s">
        <v>360</v>
      </c>
      <c r="E245" s="115" t="s">
        <v>521</v>
      </c>
      <c r="F245" s="116">
        <v>1840</v>
      </c>
      <c r="G245" s="117">
        <v>22.24</v>
      </c>
      <c r="H245" s="117">
        <f>ROUND(IF($I$1="YES",(G245*(1+$I$2)),(G244*(1+$I$2))),2)</f>
        <v>21.57</v>
      </c>
      <c r="I245" s="129">
        <f t="shared" si="40"/>
        <v>39689</v>
      </c>
      <c r="J245" s="119">
        <f>SUM(I244:I245)</f>
        <v>44866</v>
      </c>
      <c r="K245" s="120" t="s">
        <v>78</v>
      </c>
      <c r="L245" s="118">
        <f>ROUND((VLOOKUP(K245,$D$2:$E$10,2,FALSE))*J245,0)</f>
        <v>8919</v>
      </c>
      <c r="M245" s="119">
        <f>ROUND(IF(K245="N",0,(J245*$I$3)),0)</f>
        <v>269</v>
      </c>
      <c r="N245" s="118">
        <f>ROUND((J245*$I$4),0)</f>
        <v>3432</v>
      </c>
      <c r="O245" s="118">
        <f>ROUND(J245*$I$5,0)</f>
        <v>1009</v>
      </c>
      <c r="P245" s="118">
        <f>ROUND(J245*$I$6,0)</f>
        <v>381</v>
      </c>
      <c r="Q245" s="121">
        <v>3</v>
      </c>
      <c r="R245" s="122">
        <f>ROUND(IF($Q245=0,0,((VLOOKUP($Q245,$K$3:$M$6,2,FALSE))*(1+$L$7))),0)</f>
        <v>11460</v>
      </c>
      <c r="S245" s="122">
        <f>ROUND(IF($Q245=0,0,((VLOOKUP($Q245,$K$3:$M$6,3,FALSE))*(1+$M$7))),0)</f>
        <v>964</v>
      </c>
      <c r="T245" s="118">
        <f>SUM(R245,S245)</f>
        <v>12424</v>
      </c>
      <c r="U245" s="118">
        <f>SUM(L245:P245,T245)</f>
        <v>26434</v>
      </c>
      <c r="V245" s="118">
        <f>SUM(U245,J245)</f>
        <v>71300</v>
      </c>
      <c r="W245" s="111"/>
      <c r="X245" s="123"/>
    </row>
    <row r="246" spans="1:24" x14ac:dyDescent="0.2">
      <c r="A246" s="40" t="s">
        <v>698</v>
      </c>
      <c r="B246" s="100" t="s">
        <v>523</v>
      </c>
      <c r="C246" s="100" t="s">
        <v>644</v>
      </c>
      <c r="D246" s="124"/>
      <c r="E246" s="102" t="s">
        <v>716</v>
      </c>
      <c r="F246" s="103">
        <v>184</v>
      </c>
      <c r="G246" s="104">
        <v>11.08</v>
      </c>
      <c r="H246" s="104">
        <f>ROUND((G246*(1+$I$2)),2)</f>
        <v>11.08</v>
      </c>
      <c r="I246" s="126">
        <f t="shared" ref="I246:I247" si="41">ROUND((H246*F246),0)</f>
        <v>2039</v>
      </c>
      <c r="J246" s="106"/>
      <c r="K246" s="127"/>
      <c r="L246" s="108"/>
      <c r="M246" s="109"/>
      <c r="N246" s="108"/>
      <c r="O246" s="108"/>
      <c r="P246" s="108"/>
      <c r="Q246" s="128"/>
      <c r="R246" s="111"/>
      <c r="S246" s="111"/>
      <c r="T246" s="112"/>
      <c r="U246" s="108"/>
      <c r="V246" s="108"/>
      <c r="W246" s="111"/>
      <c r="X246" s="52"/>
    </row>
    <row r="247" spans="1:24" x14ac:dyDescent="0.2">
      <c r="A247" s="113"/>
      <c r="B247" s="113"/>
      <c r="C247" s="113"/>
      <c r="D247" s="114" t="s">
        <v>360</v>
      </c>
      <c r="E247" s="115" t="s">
        <v>717</v>
      </c>
      <c r="F247" s="116">
        <v>1324</v>
      </c>
      <c r="G247" s="117">
        <v>11.28</v>
      </c>
      <c r="H247" s="117">
        <f>ROUND(IF($I$1="YES",(G247*(1+$I$2)),(G246*(1+$I$2))),2)</f>
        <v>11.08</v>
      </c>
      <c r="I247" s="129">
        <f t="shared" si="41"/>
        <v>14670</v>
      </c>
      <c r="J247" s="119">
        <f>SUM(I246:I247)</f>
        <v>16709</v>
      </c>
      <c r="K247" s="120" t="s">
        <v>104</v>
      </c>
      <c r="L247" s="118">
        <f>ROUND((VLOOKUP(K247,$D$2:$E$10,2,FALSE))*J247,0)</f>
        <v>3033</v>
      </c>
      <c r="M247" s="119">
        <f>ROUND(IF(K247="N",0,(J247*$I$3)),0)</f>
        <v>100</v>
      </c>
      <c r="N247" s="118">
        <f>ROUND((J247*$I$4),0)</f>
        <v>1278</v>
      </c>
      <c r="O247" s="118">
        <f>ROUND(J247*$I$5,0)</f>
        <v>376</v>
      </c>
      <c r="P247" s="118">
        <f>ROUND(J247*$I$6,0)</f>
        <v>142</v>
      </c>
      <c r="Q247" s="121">
        <v>0</v>
      </c>
      <c r="R247" s="122">
        <f>ROUND(IF($Q247=0,0,((VLOOKUP($Q247,$K$3:$M$6,2,FALSE))*(1+$L$7))),0)</f>
        <v>0</v>
      </c>
      <c r="S247" s="122">
        <f>ROUND(IF($Q247=0,0,((VLOOKUP($Q247,$K$3:$M$6,3,FALSE))*(1+$M$7))),0)</f>
        <v>0</v>
      </c>
      <c r="T247" s="118">
        <f>SUM(R247,S247)</f>
        <v>0</v>
      </c>
      <c r="U247" s="118">
        <f>SUM(L247:P247,T247)</f>
        <v>4929</v>
      </c>
      <c r="V247" s="118">
        <f>SUM(U247,J247)</f>
        <v>21638</v>
      </c>
      <c r="W247" s="111"/>
      <c r="X247" s="123"/>
    </row>
    <row r="248" spans="1:24" x14ac:dyDescent="0.2">
      <c r="A248" s="40" t="s">
        <v>522</v>
      </c>
      <c r="B248" s="100" t="s">
        <v>523</v>
      </c>
      <c r="C248" s="100" t="s">
        <v>524</v>
      </c>
      <c r="D248" s="124"/>
      <c r="E248" s="102" t="s">
        <v>718</v>
      </c>
      <c r="F248" s="103">
        <v>184</v>
      </c>
      <c r="G248" s="104">
        <v>11.42</v>
      </c>
      <c r="H248" s="104">
        <f>ROUND((G248*(1+$I$2)),2)</f>
        <v>11.42</v>
      </c>
      <c r="I248" s="126">
        <f t="shared" si="40"/>
        <v>2101</v>
      </c>
      <c r="J248" s="106"/>
      <c r="K248" s="127"/>
      <c r="L248" s="108"/>
      <c r="M248" s="109"/>
      <c r="N248" s="108"/>
      <c r="O248" s="108"/>
      <c r="P248" s="108"/>
      <c r="Q248" s="128"/>
      <c r="R248" s="111"/>
      <c r="S248" s="111"/>
      <c r="T248" s="112"/>
      <c r="U248" s="108"/>
      <c r="V248" s="108"/>
      <c r="W248" s="111"/>
      <c r="X248" s="52"/>
    </row>
    <row r="249" spans="1:24" x14ac:dyDescent="0.2">
      <c r="A249" s="113"/>
      <c r="B249" s="113"/>
      <c r="C249" s="113"/>
      <c r="D249" s="114" t="s">
        <v>360</v>
      </c>
      <c r="E249" s="115" t="s">
        <v>719</v>
      </c>
      <c r="F249" s="116">
        <v>1324</v>
      </c>
      <c r="G249" s="117">
        <v>11.8</v>
      </c>
      <c r="H249" s="117">
        <f>ROUND(IF($I$1="YES",(G249*(1+$I$2)),(G248*(1+$I$2))),2)</f>
        <v>11.42</v>
      </c>
      <c r="I249" s="129">
        <f t="shared" si="40"/>
        <v>15120</v>
      </c>
      <c r="J249" s="119">
        <f>SUM(I248:I249)</f>
        <v>17221</v>
      </c>
      <c r="K249" s="120" t="s">
        <v>78</v>
      </c>
      <c r="L249" s="118">
        <f>ROUND((VLOOKUP(K249,$D$2:$E$10,2,FALSE))*J249,0)</f>
        <v>3424</v>
      </c>
      <c r="M249" s="119">
        <f>ROUND(IF(K249="N",0,(J249*$I$3)),0)</f>
        <v>103</v>
      </c>
      <c r="N249" s="118">
        <f>ROUND((J249*$I$4),0)</f>
        <v>1317</v>
      </c>
      <c r="O249" s="118">
        <f>ROUND(J249*$I$5,0)</f>
        <v>387</v>
      </c>
      <c r="P249" s="118">
        <f>ROUND(J249*$I$6,0)</f>
        <v>146</v>
      </c>
      <c r="Q249" s="121">
        <v>0</v>
      </c>
      <c r="R249" s="122">
        <f>ROUND(IF($Q249=0,0,((VLOOKUP($Q249,$K$3:$M$6,2,FALSE))*(1+$L$7))),0)</f>
        <v>0</v>
      </c>
      <c r="S249" s="122">
        <f>ROUND(IF($Q249=0,0,((VLOOKUP($Q249,$K$3:$M$6,3,FALSE))*(1+$M$7))),0)</f>
        <v>0</v>
      </c>
      <c r="T249" s="118">
        <f>SUM(R249,S249)</f>
        <v>0</v>
      </c>
      <c r="U249" s="118">
        <f>SUM(L249:P249,T249)</f>
        <v>5377</v>
      </c>
      <c r="V249" s="118">
        <f>SUM(U249,J249)</f>
        <v>22598</v>
      </c>
      <c r="W249" s="111"/>
      <c r="X249" s="123"/>
    </row>
    <row r="250" spans="1:24" x14ac:dyDescent="0.2">
      <c r="A250" s="100" t="s">
        <v>525</v>
      </c>
      <c r="B250" s="100" t="s">
        <v>523</v>
      </c>
      <c r="C250" s="100" t="s">
        <v>526</v>
      </c>
      <c r="D250" s="124"/>
      <c r="E250" s="102" t="s">
        <v>717</v>
      </c>
      <c r="F250" s="103">
        <v>803</v>
      </c>
      <c r="G250" s="104">
        <v>11.28</v>
      </c>
      <c r="H250" s="104">
        <f>ROUND((G250*(1+$I$2)),2)</f>
        <v>11.28</v>
      </c>
      <c r="I250" s="126">
        <f t="shared" si="40"/>
        <v>9058</v>
      </c>
      <c r="J250" s="106"/>
      <c r="K250" s="127"/>
      <c r="L250" s="108"/>
      <c r="M250" s="109"/>
      <c r="N250" s="108"/>
      <c r="O250" s="108"/>
      <c r="P250" s="108"/>
      <c r="Q250" s="128"/>
      <c r="R250" s="111"/>
      <c r="S250" s="111"/>
      <c r="T250" s="112"/>
      <c r="U250" s="108"/>
      <c r="V250" s="108"/>
      <c r="W250" s="111"/>
      <c r="X250" s="52"/>
    </row>
    <row r="251" spans="1:24" x14ac:dyDescent="0.2">
      <c r="A251" s="113"/>
      <c r="B251" s="113"/>
      <c r="C251" s="113"/>
      <c r="D251" s="114" t="s">
        <v>527</v>
      </c>
      <c r="E251" s="115" t="s">
        <v>718</v>
      </c>
      <c r="F251" s="116">
        <v>705</v>
      </c>
      <c r="G251" s="117">
        <v>11.42</v>
      </c>
      <c r="H251" s="117">
        <f>ROUND(IF($I$1="YES",(G251*(1+$I$2)),(G250*(1+$I$2))),2)</f>
        <v>11.28</v>
      </c>
      <c r="I251" s="129">
        <f t="shared" si="40"/>
        <v>7952</v>
      </c>
      <c r="J251" s="119">
        <f>SUM(I250:I251)</f>
        <v>17010</v>
      </c>
      <c r="K251" s="120" t="s">
        <v>104</v>
      </c>
      <c r="L251" s="118">
        <f>ROUND((VLOOKUP(K251,$D$2:$E$10,2,FALSE))*J251,0)</f>
        <v>3087</v>
      </c>
      <c r="M251" s="119">
        <f>ROUND(IF(K251="N",0,(J251*$I$3)),0)</f>
        <v>102</v>
      </c>
      <c r="N251" s="118">
        <f>ROUND((J251*$I$4),0)</f>
        <v>1301</v>
      </c>
      <c r="O251" s="118">
        <f>ROUND(J251*$I$5,0)</f>
        <v>383</v>
      </c>
      <c r="P251" s="118">
        <f>ROUND(J251*$I$6,0)</f>
        <v>145</v>
      </c>
      <c r="Q251" s="121">
        <v>0</v>
      </c>
      <c r="R251" s="122">
        <f>ROUND(IF($Q251=0,0,((VLOOKUP($Q251,$K$3:$M$6,2,FALSE))*(1+$L$7))),0)</f>
        <v>0</v>
      </c>
      <c r="S251" s="122">
        <f>ROUND(IF($Q251=0,0,((VLOOKUP($Q251,$K$3:$M$6,3,FALSE))*(1+$M$7))),0)</f>
        <v>0</v>
      </c>
      <c r="T251" s="118">
        <f>SUM(R251,S251)</f>
        <v>0</v>
      </c>
      <c r="U251" s="118">
        <f>SUM(L251:P251,T251)</f>
        <v>5018</v>
      </c>
      <c r="V251" s="118">
        <f>SUM(U251,J251)</f>
        <v>22028</v>
      </c>
      <c r="W251" s="111"/>
      <c r="X251" s="123"/>
    </row>
    <row r="252" spans="1:24" x14ac:dyDescent="0.2">
      <c r="A252" s="40" t="s">
        <v>528</v>
      </c>
      <c r="B252" s="100" t="s">
        <v>523</v>
      </c>
      <c r="C252" s="100" t="s">
        <v>529</v>
      </c>
      <c r="D252" s="124"/>
      <c r="E252" s="125" t="s">
        <v>717</v>
      </c>
      <c r="F252" s="103">
        <v>735</v>
      </c>
      <c r="G252" s="104">
        <v>11.28</v>
      </c>
      <c r="H252" s="104">
        <f>ROUND((G252*(1+$I$2)),2)</f>
        <v>11.28</v>
      </c>
      <c r="I252" s="126">
        <f t="shared" ref="I252:I257" si="42">ROUND((H252*F252),0)</f>
        <v>8291</v>
      </c>
      <c r="J252" s="106"/>
      <c r="K252" s="127"/>
      <c r="L252" s="108"/>
      <c r="M252" s="109"/>
      <c r="N252" s="108"/>
      <c r="O252" s="108"/>
      <c r="P252" s="108"/>
      <c r="Q252" s="128"/>
      <c r="R252" s="111"/>
      <c r="S252" s="111"/>
      <c r="T252" s="112"/>
      <c r="U252" s="108"/>
      <c r="V252" s="108"/>
      <c r="W252" s="111"/>
      <c r="X252" s="52"/>
    </row>
    <row r="253" spans="1:24" x14ac:dyDescent="0.2">
      <c r="A253" s="113"/>
      <c r="B253" s="113"/>
      <c r="C253" s="113"/>
      <c r="D253" s="114">
        <v>41446</v>
      </c>
      <c r="E253" s="115" t="s">
        <v>718</v>
      </c>
      <c r="F253" s="116">
        <v>773</v>
      </c>
      <c r="G253" s="117">
        <v>11.42</v>
      </c>
      <c r="H253" s="117">
        <f>ROUND(IF($I$1="YES",(G253*(1+$I$2)),(G252*(1+$I$2))),2)</f>
        <v>11.28</v>
      </c>
      <c r="I253" s="129">
        <f t="shared" si="42"/>
        <v>8719</v>
      </c>
      <c r="J253" s="119">
        <f>SUM(I252:I253)</f>
        <v>17010</v>
      </c>
      <c r="K253" s="120" t="s">
        <v>104</v>
      </c>
      <c r="L253" s="118">
        <f>ROUND((VLOOKUP(K253,$D$2:$E$10,2,FALSE))*J253,0)</f>
        <v>3087</v>
      </c>
      <c r="M253" s="119">
        <f>ROUND(IF(K253="N",0,(J253*$I$3)),0)</f>
        <v>102</v>
      </c>
      <c r="N253" s="118">
        <f>ROUND((J253*$I$4),0)</f>
        <v>1301</v>
      </c>
      <c r="O253" s="118">
        <f>ROUND(J253*$I$5,0)</f>
        <v>383</v>
      </c>
      <c r="P253" s="118">
        <f>ROUND(J253*$I$6,0)</f>
        <v>145</v>
      </c>
      <c r="Q253" s="121">
        <v>0</v>
      </c>
      <c r="R253" s="122">
        <f>ROUND(IF($Q253=0,0,((VLOOKUP($Q253,$K$3:$M$6,2,FALSE))*(1+$L$7))),0)</f>
        <v>0</v>
      </c>
      <c r="S253" s="122">
        <f>ROUND(IF($Q253=0,0,((VLOOKUP($Q253,$K$3:$M$6,3,FALSE))*(1+$M$7))),0)</f>
        <v>0</v>
      </c>
      <c r="T253" s="118">
        <f>SUM(R253,S253)</f>
        <v>0</v>
      </c>
      <c r="U253" s="118">
        <f>SUM(L253:P253,T253)</f>
        <v>5018</v>
      </c>
      <c r="V253" s="118">
        <f>SUM(U253,J253)</f>
        <v>22028</v>
      </c>
      <c r="W253" s="111"/>
      <c r="X253" s="123"/>
    </row>
    <row r="254" spans="1:24" x14ac:dyDescent="0.2">
      <c r="A254" s="40" t="s">
        <v>530</v>
      </c>
      <c r="B254" s="100" t="s">
        <v>523</v>
      </c>
      <c r="C254" s="100" t="s">
        <v>531</v>
      </c>
      <c r="D254" s="124"/>
      <c r="E254" s="102" t="s">
        <v>717</v>
      </c>
      <c r="F254" s="103">
        <v>735</v>
      </c>
      <c r="G254" s="104">
        <v>11.28</v>
      </c>
      <c r="H254" s="104">
        <f>ROUND((G254*(1+$I$2)),2)</f>
        <v>11.28</v>
      </c>
      <c r="I254" s="126">
        <f t="shared" si="42"/>
        <v>8291</v>
      </c>
      <c r="J254" s="106"/>
      <c r="K254" s="127"/>
      <c r="L254" s="108"/>
      <c r="M254" s="109"/>
      <c r="N254" s="108"/>
      <c r="O254" s="108"/>
      <c r="P254" s="108"/>
      <c r="Q254" s="128"/>
      <c r="R254" s="111"/>
      <c r="S254" s="111"/>
      <c r="T254" s="112"/>
      <c r="U254" s="108"/>
      <c r="V254" s="108"/>
      <c r="W254" s="111"/>
      <c r="X254" s="52"/>
    </row>
    <row r="255" spans="1:24" x14ac:dyDescent="0.2">
      <c r="A255" s="113"/>
      <c r="B255" s="113"/>
      <c r="C255" s="113"/>
      <c r="D255" s="114" t="s">
        <v>532</v>
      </c>
      <c r="E255" s="115" t="s">
        <v>718</v>
      </c>
      <c r="F255" s="116">
        <v>773</v>
      </c>
      <c r="G255" s="117">
        <v>11.42</v>
      </c>
      <c r="H255" s="117">
        <f>ROUND(IF($I$1="YES",(G255*(1+$I$2)),(G254*(1+$I$2))),2)</f>
        <v>11.28</v>
      </c>
      <c r="I255" s="129">
        <f t="shared" si="42"/>
        <v>8719</v>
      </c>
      <c r="J255" s="119">
        <f>SUM(I254:I255)</f>
        <v>17010</v>
      </c>
      <c r="K255" s="120" t="s">
        <v>104</v>
      </c>
      <c r="L255" s="118">
        <f>ROUND((VLOOKUP(K255,$D$2:$E$10,2,FALSE))*J255,0)</f>
        <v>3087</v>
      </c>
      <c r="M255" s="119">
        <f>ROUND(IF(K255="N",0,(J255*$I$3)),0)</f>
        <v>102</v>
      </c>
      <c r="N255" s="118">
        <f>ROUND((J255*$I$4),0)</f>
        <v>1301</v>
      </c>
      <c r="O255" s="118">
        <f>ROUND(J255*$I$5,0)</f>
        <v>383</v>
      </c>
      <c r="P255" s="118">
        <f>ROUND(J255*$I$6,0)</f>
        <v>145</v>
      </c>
      <c r="Q255" s="121">
        <v>0</v>
      </c>
      <c r="R255" s="122">
        <f>ROUND(IF($Q255=0,0,((VLOOKUP($Q255,$K$3:$M$6,2,FALSE))*(1+$L$7))),0)</f>
        <v>0</v>
      </c>
      <c r="S255" s="122">
        <f>ROUND(IF($Q255=0,0,((VLOOKUP($Q255,$K$3:$M$6,3,FALSE))*(1+$M$7))),0)</f>
        <v>0</v>
      </c>
      <c r="T255" s="118">
        <f>SUM(R255,S255)</f>
        <v>0</v>
      </c>
      <c r="U255" s="118">
        <f>SUM(L255:P255,T255)</f>
        <v>5018</v>
      </c>
      <c r="V255" s="118">
        <f>SUM(U255,J255)</f>
        <v>22028</v>
      </c>
      <c r="W255" s="111"/>
      <c r="X255" s="123"/>
    </row>
    <row r="256" spans="1:24" x14ac:dyDescent="0.2">
      <c r="A256" s="100" t="s">
        <v>533</v>
      </c>
      <c r="B256" s="100" t="s">
        <v>534</v>
      </c>
      <c r="C256" s="100" t="s">
        <v>535</v>
      </c>
      <c r="D256" s="124"/>
      <c r="E256" s="102" t="s">
        <v>720</v>
      </c>
      <c r="F256" s="103">
        <v>1456</v>
      </c>
      <c r="G256" s="104">
        <v>11.96</v>
      </c>
      <c r="H256" s="104">
        <f>ROUND((G256*(1+$I$2)),2)</f>
        <v>11.96</v>
      </c>
      <c r="I256" s="126">
        <f t="shared" si="42"/>
        <v>17414</v>
      </c>
      <c r="J256" s="106"/>
      <c r="K256" s="127"/>
      <c r="L256" s="108"/>
      <c r="M256" s="109"/>
      <c r="N256" s="108"/>
      <c r="O256" s="108"/>
      <c r="P256" s="108"/>
      <c r="Q256" s="128"/>
      <c r="R256" s="111"/>
      <c r="S256" s="111"/>
      <c r="T256" s="112"/>
      <c r="U256" s="108"/>
      <c r="V256" s="108"/>
      <c r="W256" s="111"/>
      <c r="X256" s="52"/>
    </row>
    <row r="257" spans="1:24" x14ac:dyDescent="0.2">
      <c r="A257" s="113"/>
      <c r="B257" s="113"/>
      <c r="C257" s="113"/>
      <c r="D257" s="114" t="s">
        <v>474</v>
      </c>
      <c r="E257" s="115" t="s">
        <v>721</v>
      </c>
      <c r="F257" s="116">
        <v>52</v>
      </c>
      <c r="G257" s="117">
        <v>12.31</v>
      </c>
      <c r="H257" s="117">
        <f>ROUND(IF($I$1="YES",(G257*(1+$I$2)),(G256*(1+$I$2))),2)</f>
        <v>11.96</v>
      </c>
      <c r="I257" s="129">
        <f t="shared" si="42"/>
        <v>622</v>
      </c>
      <c r="J257" s="119">
        <f>SUM(I256:I257)</f>
        <v>18036</v>
      </c>
      <c r="K257" s="120" t="s">
        <v>78</v>
      </c>
      <c r="L257" s="118">
        <f>ROUND((VLOOKUP(K257,$D$2:$E$10,2,FALSE))*J257,0)</f>
        <v>3586</v>
      </c>
      <c r="M257" s="119">
        <f>ROUND(IF(K257="N",0,(J257*$I$3)),0)</f>
        <v>108</v>
      </c>
      <c r="N257" s="118">
        <f>ROUND((J257*$I$4),0)</f>
        <v>1380</v>
      </c>
      <c r="O257" s="118">
        <f>ROUND(J257*$I$5,0)</f>
        <v>406</v>
      </c>
      <c r="P257" s="118">
        <f>ROUND(J257*$I$6,0)</f>
        <v>153</v>
      </c>
      <c r="Q257" s="121">
        <v>0</v>
      </c>
      <c r="R257" s="122">
        <f>ROUND(IF($Q257=0,0,((VLOOKUP($Q257,$K$3:$M$6,2,FALSE))*(1+$L$7))),0)</f>
        <v>0</v>
      </c>
      <c r="S257" s="122">
        <f>ROUND(IF($Q257=0,0,((VLOOKUP($Q257,$K$3:$M$6,3,FALSE))*(1+$M$7))),0)</f>
        <v>0</v>
      </c>
      <c r="T257" s="118">
        <f>SUM(R257,S257)</f>
        <v>0</v>
      </c>
      <c r="U257" s="118">
        <f>SUM(L257:P257,T257)</f>
        <v>5633</v>
      </c>
      <c r="V257" s="118">
        <f>SUM(U257,J257)</f>
        <v>23669</v>
      </c>
      <c r="W257" s="111"/>
      <c r="X257" s="123"/>
    </row>
    <row r="258" spans="1:24" x14ac:dyDescent="0.2">
      <c r="A258" s="100" t="s">
        <v>536</v>
      </c>
      <c r="B258" s="100" t="s">
        <v>537</v>
      </c>
      <c r="C258" s="261" t="s">
        <v>538</v>
      </c>
      <c r="D258" s="101"/>
      <c r="E258" s="102" t="s">
        <v>540</v>
      </c>
      <c r="F258" s="103">
        <v>520</v>
      </c>
      <c r="G258" s="104">
        <v>19.7</v>
      </c>
      <c r="H258" s="104">
        <f>ROUND((G258*(1+$I$2)),2)</f>
        <v>19.7</v>
      </c>
      <c r="I258" s="126">
        <f>ROUND((H258*F258),0)</f>
        <v>10244</v>
      </c>
      <c r="J258" s="106"/>
      <c r="K258" s="127"/>
      <c r="L258" s="108"/>
      <c r="M258" s="109"/>
      <c r="N258" s="108"/>
      <c r="O258" s="108"/>
      <c r="P258" s="108"/>
      <c r="Q258" s="128"/>
      <c r="R258" s="111"/>
      <c r="S258" s="111"/>
      <c r="T258" s="112"/>
      <c r="U258" s="108"/>
      <c r="V258" s="108"/>
      <c r="W258" s="111"/>
      <c r="X258" s="52"/>
    </row>
    <row r="259" spans="1:24" x14ac:dyDescent="0.2">
      <c r="A259" s="113"/>
      <c r="B259" s="113"/>
      <c r="C259" s="113"/>
      <c r="D259" s="114" t="s">
        <v>539</v>
      </c>
      <c r="E259" s="115" t="s">
        <v>540</v>
      </c>
      <c r="F259" s="116">
        <v>520</v>
      </c>
      <c r="G259" s="117">
        <v>19.7</v>
      </c>
      <c r="H259" s="117">
        <f>ROUND(IF($I$1="YES",(G259*(1+$I$2)),(G258*(1+$I$2))),2)</f>
        <v>19.7</v>
      </c>
      <c r="I259" s="118">
        <f>ROUND((H259*F259),0)</f>
        <v>10244</v>
      </c>
      <c r="J259" s="119">
        <f>SUM(I258:I259)</f>
        <v>20488</v>
      </c>
      <c r="K259" s="120" t="s">
        <v>78</v>
      </c>
      <c r="L259" s="118">
        <f>ROUND((VLOOKUP(K259,$D$2:$E$10,2,FALSE))*J259,0)</f>
        <v>4073</v>
      </c>
      <c r="M259" s="119">
        <f>ROUND(IF(K259="N",0,(J259*$I$3)),0)</f>
        <v>123</v>
      </c>
      <c r="N259" s="118">
        <f>ROUND((J259*$I$4),0)</f>
        <v>1567</v>
      </c>
      <c r="O259" s="118">
        <f>ROUND(J259*$I$5,0)</f>
        <v>461</v>
      </c>
      <c r="P259" s="118">
        <f>ROUND(J259*$I$6,0)</f>
        <v>174</v>
      </c>
      <c r="Q259" s="121">
        <v>0</v>
      </c>
      <c r="R259" s="122">
        <f>ROUND(IF($Q259=0,0,((VLOOKUP($Q259,$K$3:$M$6,2,FALSE))*(1+$L$7))),0)</f>
        <v>0</v>
      </c>
      <c r="S259" s="122">
        <f>ROUND(IF($Q259=0,0,((VLOOKUP($Q259,$K$3:$M$6,3,FALSE))*(1+$M$7))),0)</f>
        <v>0</v>
      </c>
      <c r="T259" s="118">
        <f>SUM(R259,S259)</f>
        <v>0</v>
      </c>
      <c r="U259" s="118">
        <f>SUM(L259:P259,T259)</f>
        <v>6398</v>
      </c>
      <c r="V259" s="118">
        <f>SUM(U259,J259)</f>
        <v>26886</v>
      </c>
      <c r="W259" s="111"/>
      <c r="X259" s="123"/>
    </row>
    <row r="260" spans="1:24" x14ac:dyDescent="0.2">
      <c r="A260" s="40" t="s">
        <v>541</v>
      </c>
      <c r="B260" s="100" t="s">
        <v>537</v>
      </c>
      <c r="C260" s="100" t="s">
        <v>542</v>
      </c>
      <c r="D260" s="124"/>
      <c r="E260" s="125" t="s">
        <v>543</v>
      </c>
      <c r="F260" s="103">
        <v>2008</v>
      </c>
      <c r="G260" s="104">
        <v>12.29</v>
      </c>
      <c r="H260" s="104">
        <f>ROUND((G260*(1+$I$2)),2)</f>
        <v>12.29</v>
      </c>
      <c r="I260" s="126">
        <f t="shared" ref="I260:I265" si="43">ROUND((H260*F260),0)</f>
        <v>24678</v>
      </c>
      <c r="J260" s="106"/>
      <c r="K260" s="127"/>
      <c r="L260" s="108"/>
      <c r="M260" s="109"/>
      <c r="N260" s="108"/>
      <c r="O260" s="108"/>
      <c r="P260" s="108"/>
      <c r="Q260" s="128"/>
      <c r="R260" s="111"/>
      <c r="S260" s="111"/>
      <c r="T260" s="112"/>
      <c r="U260" s="108"/>
      <c r="V260" s="108"/>
      <c r="W260" s="111"/>
      <c r="X260" s="52"/>
    </row>
    <row r="261" spans="1:24" x14ac:dyDescent="0.2">
      <c r="A261" s="113"/>
      <c r="B261" s="113"/>
      <c r="C261" s="113"/>
      <c r="D261" s="114" t="s">
        <v>335</v>
      </c>
      <c r="E261" s="115" t="s">
        <v>664</v>
      </c>
      <c r="F261" s="116">
        <v>72</v>
      </c>
      <c r="G261" s="117">
        <v>12.51</v>
      </c>
      <c r="H261" s="117">
        <f>ROUND(IF($I$1="YES",(G261*(1+$I$2)),(G260*(1+$I$2))),2)</f>
        <v>12.29</v>
      </c>
      <c r="I261" s="129">
        <f t="shared" si="43"/>
        <v>885</v>
      </c>
      <c r="J261" s="119">
        <f>SUM(I260:I261)</f>
        <v>25563</v>
      </c>
      <c r="K261" s="120" t="s">
        <v>104</v>
      </c>
      <c r="L261" s="118">
        <f>ROUND((VLOOKUP(K261,$D$2:$E$10,2,FALSE))*J261,0)</f>
        <v>4640</v>
      </c>
      <c r="M261" s="119">
        <f>ROUND(IF(K261="N",0,(J261*$I$3)),0)</f>
        <v>153</v>
      </c>
      <c r="N261" s="118">
        <f>ROUND((J261*$I$4),0)</f>
        <v>1956</v>
      </c>
      <c r="O261" s="118">
        <f>ROUND(J261*$I$5,0)</f>
        <v>575</v>
      </c>
      <c r="P261" s="118">
        <f>ROUND(J261*$I$6,0)</f>
        <v>217</v>
      </c>
      <c r="Q261" s="121">
        <v>0</v>
      </c>
      <c r="R261" s="122">
        <f>ROUND(IF($Q261=0,0,((VLOOKUP($Q261,$K$3:$M$6,2,FALSE))*(1+$L$7))),0)</f>
        <v>0</v>
      </c>
      <c r="S261" s="122">
        <f>ROUND(IF($Q261=0,0,((VLOOKUP($Q261,$K$3:$M$6,3,FALSE))*(1+$M$7))),0)</f>
        <v>0</v>
      </c>
      <c r="T261" s="118">
        <f>SUM(R261,S261)</f>
        <v>0</v>
      </c>
      <c r="U261" s="118">
        <f>SUM(L261:P261,T261)</f>
        <v>7541</v>
      </c>
      <c r="V261" s="118">
        <f>SUM(U261,J261)</f>
        <v>33104</v>
      </c>
      <c r="W261" s="111"/>
      <c r="X261" s="123"/>
    </row>
    <row r="262" spans="1:24" x14ac:dyDescent="0.2">
      <c r="A262" s="40" t="s">
        <v>544</v>
      </c>
      <c r="B262" s="100" t="s">
        <v>537</v>
      </c>
      <c r="C262" s="100" t="s">
        <v>545</v>
      </c>
      <c r="D262" s="124"/>
      <c r="E262" s="102" t="s">
        <v>722</v>
      </c>
      <c r="F262" s="103">
        <v>1136</v>
      </c>
      <c r="G262" s="104">
        <v>12.78</v>
      </c>
      <c r="H262" s="104">
        <f>ROUND((G262*(1+$I$2)),2)</f>
        <v>12.78</v>
      </c>
      <c r="I262" s="126">
        <f t="shared" si="43"/>
        <v>14518</v>
      </c>
      <c r="J262" s="106"/>
      <c r="K262" s="127"/>
      <c r="L262" s="108"/>
      <c r="M262" s="109"/>
      <c r="N262" s="108"/>
      <c r="O262" s="108"/>
      <c r="P262" s="108"/>
      <c r="Q262" s="128"/>
      <c r="R262" s="111"/>
      <c r="S262" s="111"/>
      <c r="T262" s="112"/>
      <c r="U262" s="108"/>
      <c r="V262" s="108"/>
      <c r="W262" s="111"/>
      <c r="X262" s="52"/>
    </row>
    <row r="263" spans="1:24" x14ac:dyDescent="0.2">
      <c r="A263" s="113"/>
      <c r="B263" s="113"/>
      <c r="C263" s="113"/>
      <c r="D263" s="114" t="s">
        <v>546</v>
      </c>
      <c r="E263" s="115" t="s">
        <v>723</v>
      </c>
      <c r="F263" s="116">
        <v>944</v>
      </c>
      <c r="G263" s="117">
        <v>13.03</v>
      </c>
      <c r="H263" s="117">
        <f>ROUND(IF($I$1="YES",(G263*(1+$I$2)),(G262*(1+$I$2))),2)</f>
        <v>12.78</v>
      </c>
      <c r="I263" s="129">
        <f t="shared" si="43"/>
        <v>12064</v>
      </c>
      <c r="J263" s="119">
        <f>SUM(I262:I263)</f>
        <v>26582</v>
      </c>
      <c r="K263" s="120" t="s">
        <v>78</v>
      </c>
      <c r="L263" s="118">
        <f>ROUND((VLOOKUP(K263,$D$2:$E$10,2,FALSE))*J263,0)</f>
        <v>5285</v>
      </c>
      <c r="M263" s="119">
        <f>ROUND(IF(K263="N",0,(J263*$I$3)),0)</f>
        <v>159</v>
      </c>
      <c r="N263" s="118">
        <f>ROUND((J263*$I$4),0)</f>
        <v>2034</v>
      </c>
      <c r="O263" s="118">
        <f>ROUND(J263*$I$5,0)</f>
        <v>598</v>
      </c>
      <c r="P263" s="118">
        <f>ROUND(J263*$I$6,0)</f>
        <v>226</v>
      </c>
      <c r="Q263" s="121">
        <v>1</v>
      </c>
      <c r="R263" s="122">
        <f>ROUND(IF($Q263=0,0,((VLOOKUP($Q263,$K$3:$M$6,2,FALSE))*(1+$L$7))),0)</f>
        <v>4019</v>
      </c>
      <c r="S263" s="122">
        <f>ROUND(IF($Q263=0,0,((VLOOKUP($Q263,$K$3:$M$6,3,FALSE))*(1+$M$7))),0)</f>
        <v>324</v>
      </c>
      <c r="T263" s="118">
        <f>SUM(R263,S263)</f>
        <v>4343</v>
      </c>
      <c r="U263" s="118">
        <f>SUM(L263:P263,T263)</f>
        <v>12645</v>
      </c>
      <c r="V263" s="118">
        <f>SUM(U263,J263)</f>
        <v>39227</v>
      </c>
      <c r="W263" s="111"/>
      <c r="X263" s="123"/>
    </row>
    <row r="264" spans="1:24" x14ac:dyDescent="0.2">
      <c r="A264" s="100" t="s">
        <v>547</v>
      </c>
      <c r="B264" s="100" t="s">
        <v>548</v>
      </c>
      <c r="C264" s="100" t="s">
        <v>549</v>
      </c>
      <c r="D264" s="124"/>
      <c r="E264" s="102" t="s">
        <v>551</v>
      </c>
      <c r="F264" s="103">
        <v>1536</v>
      </c>
      <c r="G264" s="104">
        <v>19.43</v>
      </c>
      <c r="H264" s="104">
        <f>ROUND((G264*(1+$I$2)),2)</f>
        <v>19.43</v>
      </c>
      <c r="I264" s="126">
        <f t="shared" si="43"/>
        <v>29844</v>
      </c>
      <c r="J264" s="106"/>
      <c r="K264" s="127"/>
      <c r="L264" s="108"/>
      <c r="M264" s="109"/>
      <c r="N264" s="108"/>
      <c r="O264" s="108"/>
      <c r="P264" s="108"/>
      <c r="Q264" s="128"/>
      <c r="R264" s="111"/>
      <c r="S264" s="111"/>
      <c r="T264" s="112"/>
      <c r="U264" s="108"/>
      <c r="V264" s="108"/>
      <c r="W264" s="111"/>
      <c r="X264" s="52"/>
    </row>
    <row r="265" spans="1:24" x14ac:dyDescent="0.2">
      <c r="A265" s="113"/>
      <c r="B265" s="113"/>
      <c r="C265" s="113"/>
      <c r="D265" s="114" t="s">
        <v>550</v>
      </c>
      <c r="E265" s="115" t="s">
        <v>552</v>
      </c>
      <c r="F265" s="116">
        <v>544</v>
      </c>
      <c r="G265" s="117">
        <v>19.86</v>
      </c>
      <c r="H265" s="117">
        <f>ROUND(IF($I$1="YES",(G265*(1+$I$2)),(G264*(1+$I$2))),2)</f>
        <v>19.43</v>
      </c>
      <c r="I265" s="129">
        <f t="shared" si="43"/>
        <v>10570</v>
      </c>
      <c r="J265" s="119">
        <f>SUM(I264:I265)</f>
        <v>40414</v>
      </c>
      <c r="K265" s="120" t="s">
        <v>78</v>
      </c>
      <c r="L265" s="118">
        <f>ROUND((VLOOKUP(K265,$D$2:$E$10,2,FALSE))*J265,0)</f>
        <v>8034</v>
      </c>
      <c r="M265" s="119">
        <f>ROUND(IF(K265="N",0,(J265*$I$3)),0)</f>
        <v>242</v>
      </c>
      <c r="N265" s="118">
        <f>ROUND((J265*$I$4),0)</f>
        <v>3092</v>
      </c>
      <c r="O265" s="118">
        <f>ROUND(J265*$I$5,0)</f>
        <v>909</v>
      </c>
      <c r="P265" s="118">
        <f>ROUND(J265*$I$6,0)</f>
        <v>344</v>
      </c>
      <c r="Q265" s="121">
        <v>2</v>
      </c>
      <c r="R265" s="122">
        <f>ROUND(IF($Q265=0,0,((VLOOKUP($Q265,$K$3:$M$6,2,FALSE))*(1+$L$7))),0)</f>
        <v>9458</v>
      </c>
      <c r="S265" s="122">
        <f>ROUND(IF($Q265=0,0,((VLOOKUP($Q265,$K$3:$M$6,3,FALSE))*(1+$M$7))),0)</f>
        <v>625</v>
      </c>
      <c r="T265" s="118">
        <f>SUM(R265,S265)</f>
        <v>10083</v>
      </c>
      <c r="U265" s="118">
        <f>SUM(L265:P265,T265)</f>
        <v>22704</v>
      </c>
      <c r="V265" s="118">
        <f>SUM(U265,J265)</f>
        <v>63118</v>
      </c>
      <c r="W265" s="111"/>
      <c r="X265" s="123"/>
    </row>
    <row r="266" spans="1:24" x14ac:dyDescent="0.2">
      <c r="A266" s="100" t="s">
        <v>553</v>
      </c>
      <c r="B266" s="100" t="s">
        <v>548</v>
      </c>
      <c r="C266" s="100" t="s">
        <v>554</v>
      </c>
      <c r="D266" s="101"/>
      <c r="E266" s="102" t="s">
        <v>555</v>
      </c>
      <c r="F266" s="103">
        <v>320</v>
      </c>
      <c r="G266" s="104">
        <v>14.96</v>
      </c>
      <c r="H266" s="104">
        <f>ROUND((G266*(1+$I$2)),2)</f>
        <v>14.96</v>
      </c>
      <c r="I266" s="126">
        <f>ROUND((H266*F266),0)</f>
        <v>4787</v>
      </c>
      <c r="J266" s="106"/>
      <c r="K266" s="127"/>
      <c r="L266" s="108"/>
      <c r="M266" s="109"/>
      <c r="N266" s="108"/>
      <c r="O266" s="108"/>
      <c r="P266" s="108"/>
      <c r="Q266" s="128"/>
      <c r="R266" s="111"/>
      <c r="S266" s="111"/>
      <c r="T266" s="112"/>
      <c r="U266" s="108"/>
      <c r="V266" s="108"/>
      <c r="W266" s="111"/>
      <c r="X266" s="52"/>
    </row>
    <row r="267" spans="1:24" x14ac:dyDescent="0.2">
      <c r="A267" s="113"/>
      <c r="B267" s="113"/>
      <c r="C267" s="113"/>
      <c r="D267" s="114" t="s">
        <v>469</v>
      </c>
      <c r="E267" s="115" t="s">
        <v>556</v>
      </c>
      <c r="F267" s="116">
        <v>1760</v>
      </c>
      <c r="G267" s="117">
        <v>15.43</v>
      </c>
      <c r="H267" s="117">
        <f>ROUND(IF($I$1="YES",(G267*(1+$I$2)),(G266*(1+$I$2))),2)</f>
        <v>14.96</v>
      </c>
      <c r="I267" s="118">
        <f>ROUND((H267*F267),0)</f>
        <v>26330</v>
      </c>
      <c r="J267" s="119">
        <f>SUM(I266:I267)</f>
        <v>31117</v>
      </c>
      <c r="K267" s="120" t="s">
        <v>78</v>
      </c>
      <c r="L267" s="118">
        <f>ROUND((VLOOKUP(K267,$D$2:$E$10,2,FALSE))*J267,0)</f>
        <v>6186</v>
      </c>
      <c r="M267" s="119">
        <f>ROUND(IF(K267="N",0,(J267*$I$3)),0)</f>
        <v>187</v>
      </c>
      <c r="N267" s="118">
        <f>ROUND((J267*$I$4),0)</f>
        <v>2380</v>
      </c>
      <c r="O267" s="118">
        <f>ROUND(J267*$I$5,0)</f>
        <v>700</v>
      </c>
      <c r="P267" s="118">
        <f>ROUND(J267*$I$6,0)</f>
        <v>264</v>
      </c>
      <c r="Q267" s="121">
        <v>2</v>
      </c>
      <c r="R267" s="122">
        <f>ROUND(IF($Q267=0,0,((VLOOKUP($Q267,$K$3:$M$6,2,FALSE))*(1+$L$7))),0)</f>
        <v>9458</v>
      </c>
      <c r="S267" s="122">
        <f>ROUND(IF($Q267=0,0,((VLOOKUP($Q267,$K$3:$M$6,3,FALSE))*(1+$M$7))),0)</f>
        <v>625</v>
      </c>
      <c r="T267" s="118">
        <f>SUM(R267,S267)</f>
        <v>10083</v>
      </c>
      <c r="U267" s="118">
        <f>SUM(L267:P267,T267)</f>
        <v>19800</v>
      </c>
      <c r="V267" s="118">
        <f>SUM(U267,J267)</f>
        <v>50917</v>
      </c>
      <c r="W267" s="111"/>
      <c r="X267" s="123"/>
    </row>
    <row r="268" spans="1:24" x14ac:dyDescent="0.2">
      <c r="A268" s="40" t="s">
        <v>557</v>
      </c>
      <c r="B268" s="100" t="s">
        <v>548</v>
      </c>
      <c r="C268" s="100" t="s">
        <v>558</v>
      </c>
      <c r="D268" s="124"/>
      <c r="E268" s="125" t="s">
        <v>560</v>
      </c>
      <c r="F268" s="103">
        <v>656</v>
      </c>
      <c r="G268" s="104">
        <v>14.29</v>
      </c>
      <c r="H268" s="104">
        <f>ROUND((G268*(1+$I$2)),2)</f>
        <v>14.29</v>
      </c>
      <c r="I268" s="126">
        <f t="shared" ref="I268:I273" si="44">ROUND((H268*F268),0)</f>
        <v>9374</v>
      </c>
      <c r="J268" s="106"/>
      <c r="K268" s="127"/>
      <c r="L268" s="108"/>
      <c r="M268" s="109"/>
      <c r="N268" s="108"/>
      <c r="O268" s="108"/>
      <c r="P268" s="108"/>
      <c r="Q268" s="128"/>
      <c r="R268" s="111"/>
      <c r="S268" s="111"/>
      <c r="T268" s="112"/>
      <c r="U268" s="108"/>
      <c r="V268" s="108"/>
      <c r="W268" s="111"/>
      <c r="X268" s="52"/>
    </row>
    <row r="269" spans="1:24" x14ac:dyDescent="0.2">
      <c r="A269" s="113"/>
      <c r="B269" s="113"/>
      <c r="C269" s="113"/>
      <c r="D269" s="114" t="s">
        <v>559</v>
      </c>
      <c r="E269" s="115" t="s">
        <v>561</v>
      </c>
      <c r="F269" s="116">
        <v>1424</v>
      </c>
      <c r="G269" s="117">
        <v>14.5</v>
      </c>
      <c r="H269" s="117">
        <f>ROUND(IF($I$1="YES",(G269*(1+$I$2)),(G268*(1+$I$2))),2)</f>
        <v>14.29</v>
      </c>
      <c r="I269" s="129">
        <f t="shared" si="44"/>
        <v>20349</v>
      </c>
      <c r="J269" s="119">
        <f>SUM(I268:I269)</f>
        <v>29723</v>
      </c>
      <c r="K269" s="120" t="s">
        <v>104</v>
      </c>
      <c r="L269" s="118">
        <f>ROUND((VLOOKUP(K269,$D$2:$E$10,2,FALSE))*J269,0)</f>
        <v>5395</v>
      </c>
      <c r="M269" s="119">
        <f>ROUND(IF(K269="N",0,(J269*$I$3)),0)</f>
        <v>178</v>
      </c>
      <c r="N269" s="118">
        <f>ROUND((J269*$I$4),0)</f>
        <v>2274</v>
      </c>
      <c r="O269" s="118">
        <f>ROUND(J269*$I$5,0)</f>
        <v>669</v>
      </c>
      <c r="P269" s="118">
        <f>ROUND(J269*$I$6,0)</f>
        <v>253</v>
      </c>
      <c r="Q269" s="121">
        <v>2</v>
      </c>
      <c r="R269" s="122">
        <f>ROUND(IF($Q269=0,0,((VLOOKUP($Q269,$K$3:$M$6,2,FALSE))*(1+$L$7))),0)</f>
        <v>9458</v>
      </c>
      <c r="S269" s="122">
        <f>ROUND(IF($Q269=0,0,((VLOOKUP($Q269,$K$3:$M$6,3,FALSE))*(1+$M$7))),0)</f>
        <v>625</v>
      </c>
      <c r="T269" s="118">
        <f>SUM(R269,S269)</f>
        <v>10083</v>
      </c>
      <c r="U269" s="118">
        <f>SUM(L269:P269,T269)</f>
        <v>18852</v>
      </c>
      <c r="V269" s="118">
        <f>SUM(U269,J269)</f>
        <v>48575</v>
      </c>
      <c r="W269" s="111"/>
      <c r="X269" s="123"/>
    </row>
    <row r="270" spans="1:24" x14ac:dyDescent="0.2">
      <c r="A270" s="40" t="s">
        <v>562</v>
      </c>
      <c r="B270" s="100" t="s">
        <v>548</v>
      </c>
      <c r="C270" s="100" t="s">
        <v>563</v>
      </c>
      <c r="D270" s="124"/>
      <c r="E270" s="102" t="s">
        <v>560</v>
      </c>
      <c r="F270" s="103">
        <v>736</v>
      </c>
      <c r="G270" s="104">
        <v>14.29</v>
      </c>
      <c r="H270" s="104">
        <f>ROUND((G270*(1+$I$2)),2)</f>
        <v>14.29</v>
      </c>
      <c r="I270" s="126">
        <f t="shared" si="44"/>
        <v>10517</v>
      </c>
      <c r="J270" s="106"/>
      <c r="K270" s="127"/>
      <c r="L270" s="108"/>
      <c r="M270" s="109"/>
      <c r="N270" s="108"/>
      <c r="O270" s="108"/>
      <c r="P270" s="108"/>
      <c r="Q270" s="128"/>
      <c r="R270" s="111"/>
      <c r="S270" s="111"/>
      <c r="T270" s="112"/>
      <c r="U270" s="108"/>
      <c r="V270" s="108"/>
      <c r="W270" s="111"/>
      <c r="X270" s="52"/>
    </row>
    <row r="271" spans="1:24" x14ac:dyDescent="0.2">
      <c r="A271" s="113"/>
      <c r="B271" s="113"/>
      <c r="C271" s="113"/>
      <c r="D271" s="114" t="s">
        <v>564</v>
      </c>
      <c r="E271" s="115" t="s">
        <v>561</v>
      </c>
      <c r="F271" s="116">
        <v>1344</v>
      </c>
      <c r="G271" s="117">
        <v>14.5</v>
      </c>
      <c r="H271" s="117">
        <f>ROUND(IF($I$1="YES",(G271*(1+$I$2)),(G270*(1+$I$2))),2)</f>
        <v>14.29</v>
      </c>
      <c r="I271" s="129">
        <f t="shared" si="44"/>
        <v>19206</v>
      </c>
      <c r="J271" s="119">
        <f>SUM(I270:I271)</f>
        <v>29723</v>
      </c>
      <c r="K271" s="120" t="s">
        <v>78</v>
      </c>
      <c r="L271" s="118">
        <f>ROUND((VLOOKUP(K271,$D$2:$E$10,2,FALSE))*J271,0)</f>
        <v>5909</v>
      </c>
      <c r="M271" s="119">
        <f>ROUND(IF(K271="N",0,(J271*$I$3)),0)</f>
        <v>178</v>
      </c>
      <c r="N271" s="118">
        <f>ROUND((J271*$I$4),0)</f>
        <v>2274</v>
      </c>
      <c r="O271" s="118">
        <f>ROUND(J271*$I$5,0)</f>
        <v>669</v>
      </c>
      <c r="P271" s="118">
        <f>ROUND(J271*$I$6,0)</f>
        <v>253</v>
      </c>
      <c r="Q271" s="121">
        <v>3</v>
      </c>
      <c r="R271" s="122">
        <f>ROUND(IF($Q271=0,0,((VLOOKUP($Q271,$K$3:$M$6,2,FALSE))*(1+$L$7))),0)</f>
        <v>11460</v>
      </c>
      <c r="S271" s="122">
        <f>ROUND(IF($Q271=0,0,((VLOOKUP($Q271,$K$3:$M$6,3,FALSE))*(1+$M$7))),0)</f>
        <v>964</v>
      </c>
      <c r="T271" s="118">
        <f>SUM(R271,S271)</f>
        <v>12424</v>
      </c>
      <c r="U271" s="118">
        <f>SUM(L271:P271,T271)</f>
        <v>21707</v>
      </c>
      <c r="V271" s="118">
        <f>SUM(U271,J271)</f>
        <v>51430</v>
      </c>
      <c r="W271" s="111"/>
      <c r="X271" s="123"/>
    </row>
    <row r="272" spans="1:24" x14ac:dyDescent="0.2">
      <c r="A272" s="100" t="s">
        <v>565</v>
      </c>
      <c r="B272" s="100" t="s">
        <v>566</v>
      </c>
      <c r="C272" s="100" t="s">
        <v>567</v>
      </c>
      <c r="D272" s="124"/>
      <c r="E272" s="102" t="s">
        <v>570</v>
      </c>
      <c r="F272" s="103">
        <v>1368</v>
      </c>
      <c r="G272" s="104">
        <v>15.3</v>
      </c>
      <c r="H272" s="104">
        <f>ROUND((G272*(1+$I$2)),2)</f>
        <v>15.3</v>
      </c>
      <c r="I272" s="126">
        <f t="shared" si="44"/>
        <v>20930</v>
      </c>
      <c r="J272" s="106"/>
      <c r="K272" s="127"/>
      <c r="L272" s="108"/>
      <c r="M272" s="109"/>
      <c r="N272" s="108"/>
      <c r="O272" s="108"/>
      <c r="P272" s="108"/>
      <c r="Q272" s="128"/>
      <c r="R272" s="111"/>
      <c r="S272" s="111"/>
      <c r="T272" s="112"/>
      <c r="U272" s="108"/>
      <c r="V272" s="108"/>
      <c r="W272" s="111"/>
      <c r="X272" s="52"/>
    </row>
    <row r="273" spans="1:24" x14ac:dyDescent="0.2">
      <c r="A273" s="113"/>
      <c r="B273" s="113"/>
      <c r="C273" s="113"/>
      <c r="D273" s="114" t="s">
        <v>568</v>
      </c>
      <c r="E273" s="115" t="s">
        <v>578</v>
      </c>
      <c r="F273" s="116">
        <v>712</v>
      </c>
      <c r="G273" s="117">
        <v>15.78</v>
      </c>
      <c r="H273" s="117">
        <f>ROUND(IF($I$1="YES",(G273*(1+$I$2)),(G272*(1+$I$2))),2)</f>
        <v>15.3</v>
      </c>
      <c r="I273" s="129">
        <f t="shared" si="44"/>
        <v>10894</v>
      </c>
      <c r="J273" s="119">
        <f>SUM(I272:I273)</f>
        <v>31824</v>
      </c>
      <c r="K273" s="120" t="s">
        <v>104</v>
      </c>
      <c r="L273" s="118">
        <f>ROUND((VLOOKUP(K273,$D$2:$E$10,2,FALSE))*J273,0)</f>
        <v>5776</v>
      </c>
      <c r="M273" s="119">
        <f>ROUND(IF(K273="N",0,(J273*$I$3)),0)</f>
        <v>191</v>
      </c>
      <c r="N273" s="118">
        <f>ROUND((J273*$I$4),0)</f>
        <v>2435</v>
      </c>
      <c r="O273" s="118">
        <f>ROUND(J273*$I$5,0)</f>
        <v>716</v>
      </c>
      <c r="P273" s="118">
        <f>ROUND(J273*$I$6,0)</f>
        <v>271</v>
      </c>
      <c r="Q273" s="121">
        <v>1</v>
      </c>
      <c r="R273" s="122">
        <f>ROUND(IF($Q273=0,0,((VLOOKUP($Q273,$K$3:$M$6,2,FALSE))*(1+$L$7))),0)</f>
        <v>4019</v>
      </c>
      <c r="S273" s="122">
        <f>ROUND(IF($Q273=0,0,((VLOOKUP($Q273,$K$3:$M$6,3,FALSE))*(1+$M$7))),0)</f>
        <v>324</v>
      </c>
      <c r="T273" s="118">
        <f>SUM(R273,S273)</f>
        <v>4343</v>
      </c>
      <c r="U273" s="118">
        <f>SUM(L273:P273,T273)</f>
        <v>13732</v>
      </c>
      <c r="V273" s="118">
        <f>SUM(U273,J273)</f>
        <v>45556</v>
      </c>
      <c r="W273" s="111"/>
      <c r="X273" s="123" t="s">
        <v>645</v>
      </c>
    </row>
    <row r="274" spans="1:24" x14ac:dyDescent="0.2">
      <c r="A274" s="100" t="s">
        <v>571</v>
      </c>
      <c r="B274" s="100" t="s">
        <v>566</v>
      </c>
      <c r="C274" s="100" t="s">
        <v>572</v>
      </c>
      <c r="D274" s="101"/>
      <c r="E274" s="102" t="s">
        <v>569</v>
      </c>
      <c r="F274" s="103">
        <v>1696</v>
      </c>
      <c r="G274" s="104">
        <v>15.05</v>
      </c>
      <c r="H274" s="104">
        <f>ROUND((G274*(1+$I$2)),2)</f>
        <v>15.05</v>
      </c>
      <c r="I274" s="126">
        <f>ROUND((H274*F274),0)</f>
        <v>25525</v>
      </c>
      <c r="J274" s="106"/>
      <c r="K274" s="127"/>
      <c r="L274" s="108"/>
      <c r="M274" s="109"/>
      <c r="N274" s="108"/>
      <c r="O274" s="108"/>
      <c r="P274" s="108"/>
      <c r="Q274" s="128"/>
      <c r="R274" s="111"/>
      <c r="S274" s="111"/>
      <c r="T274" s="112"/>
      <c r="U274" s="108"/>
      <c r="V274" s="108"/>
      <c r="W274" s="111"/>
      <c r="X274" s="52"/>
    </row>
    <row r="275" spans="1:24" x14ac:dyDescent="0.2">
      <c r="A275" s="113"/>
      <c r="B275" s="113"/>
      <c r="C275" s="113"/>
      <c r="D275" s="114">
        <v>41573</v>
      </c>
      <c r="E275" s="115" t="s">
        <v>570</v>
      </c>
      <c r="F275" s="116">
        <v>384</v>
      </c>
      <c r="G275" s="117">
        <v>15.3</v>
      </c>
      <c r="H275" s="117">
        <f>ROUND(IF($I$1="YES",(G275*(1+$I$2)),(G274*(1+$I$2))),2)</f>
        <v>15.05</v>
      </c>
      <c r="I275" s="118">
        <f>ROUND((H275*F275),0)</f>
        <v>5779</v>
      </c>
      <c r="J275" s="119">
        <f>SUM(I274:I275)</f>
        <v>31304</v>
      </c>
      <c r="K275" s="120" t="s">
        <v>78</v>
      </c>
      <c r="L275" s="118">
        <f>ROUND((VLOOKUP(K275,$D$2:$E$10,2,FALSE))*J275,0)</f>
        <v>6223</v>
      </c>
      <c r="M275" s="119">
        <f>ROUND(IF(K275="N",0,(J275*$I$3)),0)</f>
        <v>188</v>
      </c>
      <c r="N275" s="118">
        <f>ROUND((J275*$I$4),0)</f>
        <v>2395</v>
      </c>
      <c r="O275" s="118">
        <f>ROUND(J275*$I$5,0)</f>
        <v>704</v>
      </c>
      <c r="P275" s="118">
        <f>ROUND(J275*$I$6,0)</f>
        <v>266</v>
      </c>
      <c r="Q275" s="121">
        <v>1</v>
      </c>
      <c r="R275" s="122">
        <f>ROUND(IF($Q275=0,0,((VLOOKUP($Q275,$K$3:$M$6,2,FALSE))*(1+$L$7))),0)</f>
        <v>4019</v>
      </c>
      <c r="S275" s="122">
        <f>ROUND(IF($Q275=0,0,((VLOOKUP($Q275,$K$3:$M$6,3,FALSE))*(1+$M$7))),0)</f>
        <v>324</v>
      </c>
      <c r="T275" s="118">
        <f>SUM(R275,S275)</f>
        <v>4343</v>
      </c>
      <c r="U275" s="118">
        <f>SUM(L275:P275,T275)</f>
        <v>14119</v>
      </c>
      <c r="V275" s="118">
        <f>SUM(U275,J275)</f>
        <v>45423</v>
      </c>
      <c r="W275" s="111" t="s">
        <v>645</v>
      </c>
      <c r="X275" s="123"/>
    </row>
    <row r="276" spans="1:24" x14ac:dyDescent="0.2">
      <c r="A276" s="40" t="s">
        <v>573</v>
      </c>
      <c r="B276" s="100" t="s">
        <v>566</v>
      </c>
      <c r="C276" s="100" t="s">
        <v>574</v>
      </c>
      <c r="D276" s="124"/>
      <c r="E276" s="125" t="s">
        <v>576</v>
      </c>
      <c r="F276" s="103">
        <v>1456</v>
      </c>
      <c r="G276" s="104">
        <v>18.91</v>
      </c>
      <c r="H276" s="104">
        <f>ROUND((G276*(1+$I$2)),2)</f>
        <v>18.91</v>
      </c>
      <c r="I276" s="126">
        <f t="shared" ref="I276:I277" si="45">ROUND((H276*F276),0)</f>
        <v>27533</v>
      </c>
      <c r="J276" s="106"/>
      <c r="K276" s="127"/>
      <c r="L276" s="108"/>
      <c r="M276" s="109"/>
      <c r="N276" s="108"/>
      <c r="O276" s="108"/>
      <c r="P276" s="108"/>
      <c r="Q276" s="128"/>
      <c r="R276" s="111"/>
      <c r="S276" s="111"/>
      <c r="T276" s="112"/>
      <c r="U276" s="108"/>
      <c r="V276" s="108"/>
      <c r="W276" s="111"/>
      <c r="X276" s="52"/>
    </row>
    <row r="277" spans="1:24" x14ac:dyDescent="0.2">
      <c r="A277" s="113"/>
      <c r="B277" s="113"/>
      <c r="C277" s="113"/>
      <c r="D277" s="114" t="s">
        <v>575</v>
      </c>
      <c r="E277" s="115" t="s">
        <v>665</v>
      </c>
      <c r="F277" s="116">
        <v>624</v>
      </c>
      <c r="G277" s="117">
        <v>19.29</v>
      </c>
      <c r="H277" s="117">
        <f>ROUND(IF($I$1="YES",(G277*(1+$I$2)),(G276*(1+$I$2))),2)</f>
        <v>18.91</v>
      </c>
      <c r="I277" s="129">
        <f t="shared" si="45"/>
        <v>11800</v>
      </c>
      <c r="J277" s="119">
        <f>SUM(I276:I277)</f>
        <v>39333</v>
      </c>
      <c r="K277" s="120" t="s">
        <v>78</v>
      </c>
      <c r="L277" s="118">
        <f>ROUND((VLOOKUP(K277,$D$2:$E$10,2,FALSE))*J277,0)</f>
        <v>7819</v>
      </c>
      <c r="M277" s="119">
        <f>ROUND(IF(K277="N",0,(J277*$I$3)),0)</f>
        <v>236</v>
      </c>
      <c r="N277" s="118">
        <f>ROUND((J277*$I$4),0)</f>
        <v>3009</v>
      </c>
      <c r="O277" s="118">
        <f>ROUND(J277*$I$5,0)</f>
        <v>885</v>
      </c>
      <c r="P277" s="118">
        <f>ROUND(J277*$I$6,0)</f>
        <v>334</v>
      </c>
      <c r="Q277" s="121">
        <v>2</v>
      </c>
      <c r="R277" s="122">
        <f>ROUND(IF($Q277=0,0,((VLOOKUP($Q277,$K$3:$M$6,2,FALSE))*(1+$L$7))),0)</f>
        <v>9458</v>
      </c>
      <c r="S277" s="122">
        <f>ROUND(IF($Q277=0,0,((VLOOKUP($Q277,$K$3:$M$6,3,FALSE))*(1+$M$7))),0)</f>
        <v>625</v>
      </c>
      <c r="T277" s="118">
        <f>SUM(R277,S277)</f>
        <v>10083</v>
      </c>
      <c r="U277" s="118">
        <f>SUM(L277:P277,T277)</f>
        <v>22366</v>
      </c>
      <c r="V277" s="118">
        <f>SUM(U277,J277)</f>
        <v>61699</v>
      </c>
      <c r="W277" s="111"/>
      <c r="X277" s="123"/>
    </row>
    <row r="278" spans="1:24" x14ac:dyDescent="0.2">
      <c r="A278" s="100" t="s">
        <v>579</v>
      </c>
      <c r="B278" s="100" t="s">
        <v>566</v>
      </c>
      <c r="C278" s="100" t="s">
        <v>580</v>
      </c>
      <c r="D278" s="101"/>
      <c r="E278" s="102" t="s">
        <v>569</v>
      </c>
      <c r="F278" s="103">
        <v>2008</v>
      </c>
      <c r="G278" s="104">
        <v>15.05</v>
      </c>
      <c r="H278" s="104">
        <f>ROUND((G278*(1+$I$2)),2)</f>
        <v>15.05</v>
      </c>
      <c r="I278" s="126">
        <f>ROUND((H278*F278),0)</f>
        <v>30220</v>
      </c>
      <c r="J278" s="106"/>
      <c r="K278" s="127"/>
      <c r="L278" s="108"/>
      <c r="M278" s="109"/>
      <c r="N278" s="108"/>
      <c r="O278" s="108"/>
      <c r="P278" s="108"/>
      <c r="Q278" s="128"/>
      <c r="R278" s="111"/>
      <c r="S278" s="111"/>
      <c r="T278" s="112"/>
      <c r="U278" s="108"/>
      <c r="V278" s="108"/>
      <c r="W278" s="111"/>
      <c r="X278" s="52"/>
    </row>
    <row r="279" spans="1:24" x14ac:dyDescent="0.2">
      <c r="A279" s="113"/>
      <c r="B279" s="113"/>
      <c r="C279" s="113"/>
      <c r="D279" s="114" t="s">
        <v>474</v>
      </c>
      <c r="E279" s="115" t="s">
        <v>570</v>
      </c>
      <c r="F279" s="116">
        <v>72</v>
      </c>
      <c r="G279" s="117">
        <v>15.3</v>
      </c>
      <c r="H279" s="117">
        <f>ROUND(IF($I$1="YES",(G279*(1+$I$2)),(G278*(1+$I$2))),2)</f>
        <v>15.05</v>
      </c>
      <c r="I279" s="118">
        <f>ROUND((H279*F279),0)</f>
        <v>1084</v>
      </c>
      <c r="J279" s="119">
        <f>SUM(I278:I279)</f>
        <v>31304</v>
      </c>
      <c r="K279" s="120" t="s">
        <v>78</v>
      </c>
      <c r="L279" s="118">
        <f>ROUND((VLOOKUP(K279,$D$2:$E$10,2,FALSE))*J279,0)</f>
        <v>6223</v>
      </c>
      <c r="M279" s="119">
        <f>ROUND(IF(K279="N",0,(J279*$I$3)),0)</f>
        <v>188</v>
      </c>
      <c r="N279" s="118">
        <f>ROUND((J279*$I$4),0)</f>
        <v>2395</v>
      </c>
      <c r="O279" s="118">
        <f>ROUND(J279*$I$5,0)</f>
        <v>704</v>
      </c>
      <c r="P279" s="118">
        <f>ROUND(J279*$I$6,0)</f>
        <v>266</v>
      </c>
      <c r="Q279" s="121">
        <v>3</v>
      </c>
      <c r="R279" s="122">
        <f>ROUND(IF($Q279=0,0,((VLOOKUP($Q279,$K$3:$M$6,2,FALSE))*(1+$L$7))),0)</f>
        <v>11460</v>
      </c>
      <c r="S279" s="122">
        <f>ROUND(IF($Q279=0,0,((VLOOKUP($Q279,$K$3:$M$6,3,FALSE))*(1+$M$7))),0)</f>
        <v>964</v>
      </c>
      <c r="T279" s="118">
        <f>SUM(R279,S279)</f>
        <v>12424</v>
      </c>
      <c r="U279" s="118">
        <f>SUM(L279:P279,T279)</f>
        <v>22200</v>
      </c>
      <c r="V279" s="118">
        <f>SUM(U279,J279)</f>
        <v>53504</v>
      </c>
      <c r="W279" s="111"/>
      <c r="X279" s="123"/>
    </row>
    <row r="280" spans="1:24" x14ac:dyDescent="0.2">
      <c r="A280" s="40" t="s">
        <v>581</v>
      </c>
      <c r="B280" s="100" t="s">
        <v>566</v>
      </c>
      <c r="C280" s="100" t="s">
        <v>582</v>
      </c>
      <c r="D280" s="124"/>
      <c r="E280" s="125" t="s">
        <v>570</v>
      </c>
      <c r="F280" s="103">
        <v>1848</v>
      </c>
      <c r="G280" s="104">
        <v>15.3</v>
      </c>
      <c r="H280" s="104">
        <f>ROUND((G280*(1+$I$2)),2)</f>
        <v>15.3</v>
      </c>
      <c r="I280" s="126">
        <f t="shared" ref="I280:I287" si="46">ROUND((H280*F280),0)</f>
        <v>28274</v>
      </c>
      <c r="J280" s="106"/>
      <c r="K280" s="127"/>
      <c r="L280" s="108"/>
      <c r="M280" s="109"/>
      <c r="N280" s="108"/>
      <c r="O280" s="108"/>
      <c r="P280" s="108"/>
      <c r="Q280" s="128"/>
      <c r="R280" s="111"/>
      <c r="S280" s="111"/>
      <c r="T280" s="112"/>
      <c r="U280" s="108"/>
      <c r="V280" s="108"/>
      <c r="W280" s="111"/>
      <c r="X280" s="52"/>
    </row>
    <row r="281" spans="1:24" x14ac:dyDescent="0.2">
      <c r="A281" s="113"/>
      <c r="B281" s="113"/>
      <c r="C281" s="113"/>
      <c r="D281" s="114" t="s">
        <v>583</v>
      </c>
      <c r="E281" s="115" t="s">
        <v>578</v>
      </c>
      <c r="F281" s="116">
        <v>232</v>
      </c>
      <c r="G281" s="117">
        <v>15.78</v>
      </c>
      <c r="H281" s="117">
        <f>ROUND(IF($I$1="YES",(G281*(1+$I$2)),(G280*(1+$I$2))),2)</f>
        <v>15.3</v>
      </c>
      <c r="I281" s="129">
        <f t="shared" si="46"/>
        <v>3550</v>
      </c>
      <c r="J281" s="119">
        <f>SUM(I280:I281)</f>
        <v>31824</v>
      </c>
      <c r="K281" s="120" t="s">
        <v>78</v>
      </c>
      <c r="L281" s="118">
        <f>ROUND((VLOOKUP(K281,$D$2:$E$10,2,FALSE))*J281,0)</f>
        <v>6327</v>
      </c>
      <c r="M281" s="119">
        <f>ROUND(IF(K281="N",0,(J281*$I$3)),0)</f>
        <v>191</v>
      </c>
      <c r="N281" s="118">
        <f>ROUND((J281*$I$4),0)</f>
        <v>2435</v>
      </c>
      <c r="O281" s="118">
        <f>ROUND(J281*$I$5,0)</f>
        <v>716</v>
      </c>
      <c r="P281" s="118">
        <f>ROUND(J281*$I$6,0)</f>
        <v>271</v>
      </c>
      <c r="Q281" s="121">
        <v>3</v>
      </c>
      <c r="R281" s="122">
        <f>ROUND(IF($Q281=0,0,((VLOOKUP($Q281,$K$3:$M$6,2,FALSE))*(1+$L$7))),0)</f>
        <v>11460</v>
      </c>
      <c r="S281" s="122">
        <f>ROUND(IF($Q281=0,0,((VLOOKUP($Q281,$K$3:$M$6,3,FALSE))*(1+$M$7))),0)</f>
        <v>964</v>
      </c>
      <c r="T281" s="118">
        <f>SUM(R281,S281)</f>
        <v>12424</v>
      </c>
      <c r="U281" s="118">
        <f>SUM(L281:P281,T281)</f>
        <v>22364</v>
      </c>
      <c r="V281" s="118">
        <f>SUM(U281,J281)</f>
        <v>54188</v>
      </c>
      <c r="W281" s="111"/>
      <c r="X281" s="123"/>
    </row>
    <row r="282" spans="1:24" x14ac:dyDescent="0.2">
      <c r="A282" s="40" t="s">
        <v>584</v>
      </c>
      <c r="B282" s="100" t="s">
        <v>585</v>
      </c>
      <c r="C282" s="100" t="s">
        <v>586</v>
      </c>
      <c r="D282" s="124"/>
      <c r="E282" s="102" t="s">
        <v>588</v>
      </c>
      <c r="F282" s="103">
        <v>880</v>
      </c>
      <c r="G282" s="104">
        <v>24.97</v>
      </c>
      <c r="H282" s="104">
        <f>ROUND((G282*(1+$I$2)),2)</f>
        <v>24.97</v>
      </c>
      <c r="I282" s="126">
        <f t="shared" si="46"/>
        <v>21974</v>
      </c>
      <c r="J282" s="106"/>
      <c r="K282" s="127"/>
      <c r="L282" s="108"/>
      <c r="M282" s="109"/>
      <c r="N282" s="108"/>
      <c r="O282" s="108"/>
      <c r="P282" s="108"/>
      <c r="Q282" s="128"/>
      <c r="R282" s="111"/>
      <c r="S282" s="111"/>
      <c r="T282" s="112"/>
      <c r="U282" s="108"/>
      <c r="V282" s="108"/>
      <c r="W282" s="111"/>
      <c r="X282" s="52"/>
    </row>
    <row r="283" spans="1:24" x14ac:dyDescent="0.2">
      <c r="A283" s="113"/>
      <c r="B283" s="113"/>
      <c r="C283" s="113"/>
      <c r="D283" s="114" t="s">
        <v>587</v>
      </c>
      <c r="E283" s="115" t="s">
        <v>589</v>
      </c>
      <c r="F283" s="116">
        <v>1200</v>
      </c>
      <c r="G283" s="117">
        <v>25.48</v>
      </c>
      <c r="H283" s="117">
        <f>ROUND(IF($I$1="YES",(G283*(1+$I$2)),(G282*(1+$I$2))),2)</f>
        <v>24.97</v>
      </c>
      <c r="I283" s="129">
        <f t="shared" si="46"/>
        <v>29964</v>
      </c>
      <c r="J283" s="119">
        <f>SUM(I282:I283)</f>
        <v>51938</v>
      </c>
      <c r="K283" s="120" t="s">
        <v>78</v>
      </c>
      <c r="L283" s="118">
        <f>ROUND((VLOOKUP(K283,$D$2:$E$10,2,FALSE))*J283,0)</f>
        <v>10325</v>
      </c>
      <c r="M283" s="119">
        <f>ROUND(IF(K283="N",0,(J283*$I$3)),0)</f>
        <v>312</v>
      </c>
      <c r="N283" s="118">
        <f>ROUND((J283*$I$4),0)</f>
        <v>3973</v>
      </c>
      <c r="O283" s="118">
        <f>ROUND(J283*$I$5,0)</f>
        <v>1169</v>
      </c>
      <c r="P283" s="118">
        <f>ROUND(J283*$I$6,0)</f>
        <v>441</v>
      </c>
      <c r="Q283" s="121">
        <v>2</v>
      </c>
      <c r="R283" s="122">
        <f>ROUND(IF($Q283=0,0,((VLOOKUP($Q283,$K$3:$M$6,2,FALSE))*(1+$L$7))),0)</f>
        <v>9458</v>
      </c>
      <c r="S283" s="122">
        <f>ROUND(IF($Q283=0,0,((VLOOKUP($Q283,$K$3:$M$6,3,FALSE))*(1+$M$7))),0)</f>
        <v>625</v>
      </c>
      <c r="T283" s="118">
        <f>SUM(R283,S283)</f>
        <v>10083</v>
      </c>
      <c r="U283" s="118">
        <f>SUM(L283:P283,T283)</f>
        <v>26303</v>
      </c>
      <c r="V283" s="118">
        <f>SUM(U283,J283)</f>
        <v>78241</v>
      </c>
      <c r="W283" s="111"/>
      <c r="X283" s="123"/>
    </row>
    <row r="284" spans="1:24" x14ac:dyDescent="0.2">
      <c r="A284" s="100" t="s">
        <v>699</v>
      </c>
      <c r="B284" s="100" t="s">
        <v>700</v>
      </c>
      <c r="C284" s="100" t="s">
        <v>644</v>
      </c>
      <c r="D284" s="124"/>
      <c r="E284" s="102" t="s">
        <v>701</v>
      </c>
      <c r="F284" s="103">
        <v>0</v>
      </c>
      <c r="G284" s="104">
        <v>16.39</v>
      </c>
      <c r="H284" s="104">
        <f>ROUND((G284*(1+$I$2)),2)</f>
        <v>16.39</v>
      </c>
      <c r="I284" s="126">
        <f t="shared" ref="I284:I285" si="47">ROUND((H284*F284),0)</f>
        <v>0</v>
      </c>
      <c r="J284" s="106"/>
      <c r="K284" s="127"/>
      <c r="L284" s="108"/>
      <c r="M284" s="109"/>
      <c r="N284" s="108"/>
      <c r="O284" s="108"/>
      <c r="P284" s="108"/>
      <c r="Q284" s="128"/>
      <c r="R284" s="111"/>
      <c r="S284" s="111"/>
      <c r="T284" s="112"/>
      <c r="U284" s="108"/>
      <c r="V284" s="108"/>
      <c r="W284" s="111"/>
      <c r="X284" s="52"/>
    </row>
    <row r="285" spans="1:24" x14ac:dyDescent="0.2">
      <c r="A285" s="113"/>
      <c r="B285" s="113"/>
      <c r="C285" s="113"/>
      <c r="D285" s="114" t="s">
        <v>451</v>
      </c>
      <c r="E285" s="115" t="s">
        <v>702</v>
      </c>
      <c r="F285" s="116">
        <v>0</v>
      </c>
      <c r="G285" s="117">
        <v>16.62</v>
      </c>
      <c r="H285" s="117">
        <f>ROUND(IF($I$1="YES",(G285*(1+$I$2)),(G284*(1+$I$2))),2)</f>
        <v>16.39</v>
      </c>
      <c r="I285" s="129">
        <f t="shared" si="47"/>
        <v>0</v>
      </c>
      <c r="J285" s="119">
        <f>SUM(I284:I285)</f>
        <v>0</v>
      </c>
      <c r="K285" s="120" t="s">
        <v>104</v>
      </c>
      <c r="L285" s="118">
        <f>ROUND((VLOOKUP(K285,$D$2:$E$10,2,FALSE))*J285,0)</f>
        <v>0</v>
      </c>
      <c r="M285" s="119">
        <f>ROUND(IF(K285="N",0,(J285*$I$3)),0)</f>
        <v>0</v>
      </c>
      <c r="N285" s="118">
        <f>ROUND((J285*$I$4),0)</f>
        <v>0</v>
      </c>
      <c r="O285" s="118">
        <f>ROUND(J285*$I$5,0)</f>
        <v>0</v>
      </c>
      <c r="P285" s="118">
        <f>ROUND(J285*$I$6,0)</f>
        <v>0</v>
      </c>
      <c r="Q285" s="121"/>
      <c r="R285" s="122">
        <f>ROUND(IF($Q285=0,0,((VLOOKUP($Q285,$K$3:$M$6,2,FALSE))*(1+$L$7))),0)</f>
        <v>0</v>
      </c>
      <c r="S285" s="122">
        <f>ROUND(IF($Q285=0,0,((VLOOKUP($Q285,$K$3:$M$6,3,FALSE))*(1+$M$7))),0)</f>
        <v>0</v>
      </c>
      <c r="T285" s="118">
        <f>SUM(R285,S285)</f>
        <v>0</v>
      </c>
      <c r="U285" s="118">
        <f>SUM(L285:P285,T285)</f>
        <v>0</v>
      </c>
      <c r="V285" s="118">
        <f>SUM(U285,J285)</f>
        <v>0</v>
      </c>
      <c r="W285" s="111"/>
      <c r="X285" s="123"/>
    </row>
    <row r="286" spans="1:24" x14ac:dyDescent="0.2">
      <c r="A286" s="100" t="s">
        <v>590</v>
      </c>
      <c r="B286" s="100" t="s">
        <v>591</v>
      </c>
      <c r="C286" s="100" t="s">
        <v>592</v>
      </c>
      <c r="D286" s="124"/>
      <c r="E286" s="102" t="s">
        <v>593</v>
      </c>
      <c r="F286" s="103">
        <v>16</v>
      </c>
      <c r="G286" s="104">
        <v>20.85</v>
      </c>
      <c r="H286" s="104">
        <f>ROUND((G286*(1+$I$2)),2)</f>
        <v>20.85</v>
      </c>
      <c r="I286" s="126">
        <f t="shared" si="46"/>
        <v>334</v>
      </c>
      <c r="J286" s="106"/>
      <c r="K286" s="127"/>
      <c r="L286" s="108"/>
      <c r="M286" s="109"/>
      <c r="N286" s="108"/>
      <c r="O286" s="108"/>
      <c r="P286" s="108"/>
      <c r="Q286" s="128"/>
      <c r="R286" s="111"/>
      <c r="S286" s="111"/>
      <c r="T286" s="112"/>
      <c r="U286" s="108"/>
      <c r="V286" s="108"/>
      <c r="W286" s="111"/>
      <c r="X286" s="52"/>
    </row>
    <row r="287" spans="1:24" x14ac:dyDescent="0.2">
      <c r="A287" s="113"/>
      <c r="B287" s="113"/>
      <c r="C287" s="113"/>
      <c r="D287" s="114" t="s">
        <v>451</v>
      </c>
      <c r="E287" s="115" t="s">
        <v>594</v>
      </c>
      <c r="F287" s="116">
        <v>2064</v>
      </c>
      <c r="G287" s="117">
        <v>21.27</v>
      </c>
      <c r="H287" s="117">
        <f>ROUND(IF($I$1="YES",(G287*(1+$I$2)),(G286*(1+$I$2))),2)</f>
        <v>20.85</v>
      </c>
      <c r="I287" s="129">
        <f t="shared" si="46"/>
        <v>43034</v>
      </c>
      <c r="J287" s="119">
        <f>SUM(I286:I287)</f>
        <v>43368</v>
      </c>
      <c r="K287" s="120" t="s">
        <v>78</v>
      </c>
      <c r="L287" s="118">
        <f>ROUND((VLOOKUP(K287,$D$2:$E$10,2,FALSE))*J287,0)</f>
        <v>8622</v>
      </c>
      <c r="M287" s="119">
        <f>ROUND(IF(K287="N",0,(J287*$I$3)),0)</f>
        <v>260</v>
      </c>
      <c r="N287" s="118">
        <f>ROUND((J287*$I$4),0)</f>
        <v>3318</v>
      </c>
      <c r="O287" s="118">
        <f>ROUND(J287*$I$5,0)</f>
        <v>976</v>
      </c>
      <c r="P287" s="118">
        <f>ROUND(J287*$I$6,0)</f>
        <v>369</v>
      </c>
      <c r="Q287" s="121">
        <v>3</v>
      </c>
      <c r="R287" s="122">
        <f>ROUND(IF($Q287=0,0,((VLOOKUP($Q287,$K$3:$M$6,2,FALSE))*(1+$L$7))),0)</f>
        <v>11460</v>
      </c>
      <c r="S287" s="122">
        <f>ROUND(IF($Q287=0,0,((VLOOKUP($Q287,$K$3:$M$6,3,FALSE))*(1+$M$7))),0)</f>
        <v>964</v>
      </c>
      <c r="T287" s="118">
        <f>SUM(R287,S287)</f>
        <v>12424</v>
      </c>
      <c r="U287" s="118">
        <f>SUM(L287:P287,T287)</f>
        <v>25969</v>
      </c>
      <c r="V287" s="118">
        <f>SUM(U287,J287)</f>
        <v>69337</v>
      </c>
      <c r="W287" s="111"/>
      <c r="X287" s="123"/>
    </row>
    <row r="288" spans="1:24" x14ac:dyDescent="0.2">
      <c r="A288" s="100" t="s">
        <v>595</v>
      </c>
      <c r="B288" s="100" t="s">
        <v>596</v>
      </c>
      <c r="C288" s="100" t="s">
        <v>597</v>
      </c>
      <c r="D288" s="101"/>
      <c r="E288" s="102" t="s">
        <v>598</v>
      </c>
      <c r="F288" s="103">
        <v>736</v>
      </c>
      <c r="G288" s="104">
        <v>26.86</v>
      </c>
      <c r="H288" s="104">
        <f>ROUND((G288*(1+$I$2)),2)</f>
        <v>26.86</v>
      </c>
      <c r="I288" s="126">
        <f>ROUND((H288*F288),0)</f>
        <v>19769</v>
      </c>
      <c r="J288" s="106"/>
      <c r="K288" s="127"/>
      <c r="L288" s="108"/>
      <c r="M288" s="109"/>
      <c r="N288" s="108"/>
      <c r="O288" s="108"/>
      <c r="P288" s="108"/>
      <c r="Q288" s="128"/>
      <c r="R288" s="111"/>
      <c r="S288" s="111"/>
      <c r="T288" s="112"/>
      <c r="U288" s="108"/>
      <c r="V288" s="108"/>
      <c r="W288" s="111"/>
      <c r="X288" s="52"/>
    </row>
    <row r="289" spans="1:24" x14ac:dyDescent="0.2">
      <c r="A289" s="113"/>
      <c r="B289" s="113"/>
      <c r="C289" s="113"/>
      <c r="D289" s="114" t="s">
        <v>375</v>
      </c>
      <c r="E289" s="115" t="s">
        <v>599</v>
      </c>
      <c r="F289" s="116">
        <v>1344</v>
      </c>
      <c r="G289" s="117">
        <v>27.43</v>
      </c>
      <c r="H289" s="117">
        <f>ROUND(IF($I$1="YES",(G289*(1+$I$2)),(G288*(1+$I$2))),2)</f>
        <v>26.86</v>
      </c>
      <c r="I289" s="118">
        <f>ROUND((H289*F289),0)</f>
        <v>36100</v>
      </c>
      <c r="J289" s="119">
        <f>SUM(I288:I289)</f>
        <v>55869</v>
      </c>
      <c r="K289" s="120" t="s">
        <v>78</v>
      </c>
      <c r="L289" s="118">
        <f>ROUND((VLOOKUP(K289,$D$2:$E$10,2,FALSE))*J289,0)</f>
        <v>11107</v>
      </c>
      <c r="M289" s="119">
        <f>ROUND(IF(K289="N",0,(J289*$I$3)),0)</f>
        <v>335</v>
      </c>
      <c r="N289" s="118">
        <f>ROUND((J289*$I$4),0)</f>
        <v>4274</v>
      </c>
      <c r="O289" s="118">
        <f>ROUND(J289*$I$5,0)</f>
        <v>1257</v>
      </c>
      <c r="P289" s="118">
        <f>ROUND(J289*$I$6,0)</f>
        <v>475</v>
      </c>
      <c r="Q289" s="121">
        <v>2</v>
      </c>
      <c r="R289" s="122">
        <f>ROUND(IF($Q289=0,0,((VLOOKUP($Q289,$K$3:$M$6,2,FALSE))*(1+$L$7))),0)</f>
        <v>9458</v>
      </c>
      <c r="S289" s="122">
        <f>ROUND(IF($Q289=0,0,((VLOOKUP($Q289,$K$3:$M$6,3,FALSE))*(1+$M$7))),0)</f>
        <v>625</v>
      </c>
      <c r="T289" s="118">
        <f>SUM(R289,S289)</f>
        <v>10083</v>
      </c>
      <c r="U289" s="118">
        <f>SUM(L289:P289,T289)</f>
        <v>27531</v>
      </c>
      <c r="V289" s="118">
        <f>SUM(U289,J289)</f>
        <v>83400</v>
      </c>
      <c r="W289" s="111"/>
      <c r="X289" s="123"/>
    </row>
    <row r="290" spans="1:24" x14ac:dyDescent="0.2">
      <c r="A290" s="40" t="s">
        <v>600</v>
      </c>
      <c r="B290" s="100" t="s">
        <v>596</v>
      </c>
      <c r="C290" s="100" t="s">
        <v>601</v>
      </c>
      <c r="D290" s="124"/>
      <c r="E290" s="125" t="s">
        <v>603</v>
      </c>
      <c r="F290" s="103">
        <v>656</v>
      </c>
      <c r="G290" s="104">
        <v>26.34</v>
      </c>
      <c r="H290" s="104">
        <f>ROUND((G290*(1+$I$2)),2)</f>
        <v>26.34</v>
      </c>
      <c r="I290" s="126">
        <f t="shared" ref="I290:I297" si="48">ROUND((H290*F290),0)</f>
        <v>17279</v>
      </c>
      <c r="J290" s="106"/>
      <c r="K290" s="127"/>
      <c r="L290" s="108"/>
      <c r="M290" s="109"/>
      <c r="N290" s="108"/>
      <c r="O290" s="108"/>
      <c r="P290" s="108"/>
      <c r="Q290" s="128"/>
      <c r="R290" s="111"/>
      <c r="S290" s="111"/>
      <c r="T290" s="112"/>
      <c r="U290" s="108"/>
      <c r="V290" s="108"/>
      <c r="W290" s="111"/>
      <c r="X290" s="52"/>
    </row>
    <row r="291" spans="1:24" x14ac:dyDescent="0.2">
      <c r="A291" s="113"/>
      <c r="B291" s="113"/>
      <c r="C291" s="113"/>
      <c r="D291" s="114" t="s">
        <v>602</v>
      </c>
      <c r="E291" s="115" t="s">
        <v>598</v>
      </c>
      <c r="F291" s="116">
        <v>1424</v>
      </c>
      <c r="G291" s="117">
        <v>26.86</v>
      </c>
      <c r="H291" s="117">
        <f>ROUND(IF($I$1="YES",(G291*(1+$I$2)),(G290*(1+$I$2))),2)</f>
        <v>26.34</v>
      </c>
      <c r="I291" s="129">
        <f t="shared" si="48"/>
        <v>37508</v>
      </c>
      <c r="J291" s="119">
        <f>SUM(I290:I291)</f>
        <v>54787</v>
      </c>
      <c r="K291" s="120" t="s">
        <v>78</v>
      </c>
      <c r="L291" s="118">
        <f>ROUND((VLOOKUP(K291,$D$2:$E$10,2,FALSE))*J291,0)</f>
        <v>10892</v>
      </c>
      <c r="M291" s="119">
        <f>ROUND(IF(K291="N",0,(J291*$I$3)),0)</f>
        <v>329</v>
      </c>
      <c r="N291" s="118">
        <f>ROUND((J291*$I$4),0)</f>
        <v>4191</v>
      </c>
      <c r="O291" s="118">
        <f>ROUND(J291*$I$5,0)</f>
        <v>1233</v>
      </c>
      <c r="P291" s="118">
        <f>ROUND(J291*$I$6,0)</f>
        <v>466</v>
      </c>
      <c r="Q291" s="121">
        <v>1</v>
      </c>
      <c r="R291" s="122">
        <f>ROUND(IF($Q291=0,0,((VLOOKUP($Q291,$K$3:$M$6,2,FALSE))*(1+$L$7))),0)</f>
        <v>4019</v>
      </c>
      <c r="S291" s="122">
        <f>ROUND(IF($Q291=0,0,((VLOOKUP($Q291,$K$3:$M$6,3,FALSE))*(1+$M$7))),0)</f>
        <v>324</v>
      </c>
      <c r="T291" s="118">
        <f>SUM(R291,S291)</f>
        <v>4343</v>
      </c>
      <c r="U291" s="118">
        <f>SUM(L291:P291,T291)</f>
        <v>21454</v>
      </c>
      <c r="V291" s="118">
        <f>SUM(U291,J291)</f>
        <v>76241</v>
      </c>
      <c r="W291" s="111"/>
      <c r="X291" s="123"/>
    </row>
    <row r="292" spans="1:24" x14ac:dyDescent="0.2">
      <c r="A292" s="40" t="s">
        <v>604</v>
      </c>
      <c r="B292" s="100" t="s">
        <v>596</v>
      </c>
      <c r="C292" s="100" t="s">
        <v>605</v>
      </c>
      <c r="D292" s="124"/>
      <c r="E292" s="102" t="s">
        <v>666</v>
      </c>
      <c r="F292" s="103">
        <v>1208</v>
      </c>
      <c r="G292" s="104">
        <v>28.54</v>
      </c>
      <c r="H292" s="104">
        <f>ROUND((G292*(1+$I$2)),2)</f>
        <v>28.54</v>
      </c>
      <c r="I292" s="126">
        <f t="shared" si="48"/>
        <v>34476</v>
      </c>
      <c r="J292" s="106"/>
      <c r="K292" s="127"/>
      <c r="L292" s="108"/>
      <c r="M292" s="109"/>
      <c r="N292" s="108"/>
      <c r="O292" s="108"/>
      <c r="P292" s="108"/>
      <c r="Q292" s="128"/>
      <c r="R292" s="111"/>
      <c r="S292" s="111"/>
      <c r="T292" s="112"/>
      <c r="U292" s="108"/>
      <c r="V292" s="108"/>
      <c r="W292" s="111"/>
      <c r="X292" s="52"/>
    </row>
    <row r="293" spans="1:24" x14ac:dyDescent="0.2">
      <c r="A293" s="113"/>
      <c r="B293" s="113"/>
      <c r="C293" s="113"/>
      <c r="D293" s="114" t="s">
        <v>369</v>
      </c>
      <c r="E293" s="115" t="s">
        <v>667</v>
      </c>
      <c r="F293" s="116">
        <v>872</v>
      </c>
      <c r="G293" s="117">
        <v>29.13</v>
      </c>
      <c r="H293" s="117">
        <f>ROUND(IF($I$1="YES",(G293*(1+$I$2)),(G292*(1+$I$2))),2)</f>
        <v>28.54</v>
      </c>
      <c r="I293" s="129">
        <f t="shared" si="48"/>
        <v>24887</v>
      </c>
      <c r="J293" s="119">
        <f>SUM(I292:I293)</f>
        <v>59363</v>
      </c>
      <c r="K293" s="120" t="s">
        <v>78</v>
      </c>
      <c r="L293" s="118">
        <f>ROUND((VLOOKUP(K293,$D$2:$E$10,2,FALSE))*J293,0)</f>
        <v>11801</v>
      </c>
      <c r="M293" s="119">
        <f>ROUND(IF(K293="N",0,(J293*$I$3)),0)</f>
        <v>356</v>
      </c>
      <c r="N293" s="118">
        <f>ROUND((J293*$I$4),0)</f>
        <v>4541</v>
      </c>
      <c r="O293" s="118">
        <f>ROUND(J293*$I$5,0)</f>
        <v>1336</v>
      </c>
      <c r="P293" s="118">
        <f>ROUND(J293*$I$6,0)</f>
        <v>505</v>
      </c>
      <c r="Q293" s="121">
        <v>2</v>
      </c>
      <c r="R293" s="122">
        <f>ROUND(IF($Q293=0,0,((VLOOKUP($Q293,$K$3:$M$6,2,FALSE))*(1+$L$7))),0)</f>
        <v>9458</v>
      </c>
      <c r="S293" s="122">
        <f>ROUND(IF($Q293=0,0,((VLOOKUP($Q293,$K$3:$M$6,3,FALSE))*(1+$M$7))),0)</f>
        <v>625</v>
      </c>
      <c r="T293" s="118">
        <f>SUM(R293,S293)</f>
        <v>10083</v>
      </c>
      <c r="U293" s="118">
        <f>SUM(L293:P293,T293)</f>
        <v>28622</v>
      </c>
      <c r="V293" s="118">
        <f>SUM(U293,J293)</f>
        <v>87985</v>
      </c>
      <c r="W293" s="111"/>
      <c r="X293" s="123"/>
    </row>
    <row r="294" spans="1:24" x14ac:dyDescent="0.2">
      <c r="A294" s="100" t="s">
        <v>606</v>
      </c>
      <c r="B294" s="100" t="s">
        <v>607</v>
      </c>
      <c r="C294" s="100" t="s">
        <v>608</v>
      </c>
      <c r="D294" s="124"/>
      <c r="E294" s="102" t="s">
        <v>609</v>
      </c>
      <c r="F294" s="103">
        <v>1176</v>
      </c>
      <c r="G294" s="104">
        <v>34.28</v>
      </c>
      <c r="H294" s="104">
        <f>ROUND((G294*(1+$I$2)),2)</f>
        <v>34.28</v>
      </c>
      <c r="I294" s="126">
        <f t="shared" ref="I294:I295" si="49">ROUND((H294*F294),0)</f>
        <v>40313</v>
      </c>
      <c r="J294" s="106"/>
      <c r="K294" s="127"/>
      <c r="L294" s="108"/>
      <c r="M294" s="109"/>
      <c r="N294" s="108"/>
      <c r="O294" s="108"/>
      <c r="P294" s="108"/>
      <c r="Q294" s="128"/>
      <c r="R294" s="111"/>
      <c r="S294" s="111"/>
      <c r="T294" s="112"/>
      <c r="U294" s="108"/>
      <c r="V294" s="108"/>
      <c r="W294" s="111"/>
      <c r="X294" s="52"/>
    </row>
    <row r="295" spans="1:24" x14ac:dyDescent="0.2">
      <c r="A295" s="113"/>
      <c r="B295" s="113"/>
      <c r="C295" s="113"/>
      <c r="D295" s="114" t="s">
        <v>482</v>
      </c>
      <c r="E295" s="115" t="s">
        <v>610</v>
      </c>
      <c r="F295" s="116">
        <v>904</v>
      </c>
      <c r="G295" s="117">
        <v>34.99</v>
      </c>
      <c r="H295" s="117">
        <f>ROUND(IF($I$1="YES",(G295*(1+$I$2)),(G294*(1+$I$2))),2)</f>
        <v>34.28</v>
      </c>
      <c r="I295" s="129">
        <f t="shared" si="49"/>
        <v>30989</v>
      </c>
      <c r="J295" s="119">
        <f>SUM(I294:I295)</f>
        <v>71302</v>
      </c>
      <c r="K295" s="120" t="s">
        <v>78</v>
      </c>
      <c r="L295" s="118">
        <f>ROUND((VLOOKUP(K295,$D$2:$E$10,2,FALSE))*J295,0)</f>
        <v>14175</v>
      </c>
      <c r="M295" s="119">
        <f>ROUND(IF(K295="N",0,(J295*$I$3)),0)</f>
        <v>428</v>
      </c>
      <c r="N295" s="118">
        <f>ROUND((J295*$I$4),0)</f>
        <v>5455</v>
      </c>
      <c r="O295" s="118">
        <f>ROUND(J295*$I$5,0)</f>
        <v>1604</v>
      </c>
      <c r="P295" s="118">
        <f>ROUND(J295*$I$6,0)</f>
        <v>606</v>
      </c>
      <c r="Q295" s="121">
        <v>3</v>
      </c>
      <c r="R295" s="122">
        <f>ROUND(IF($Q295=0,0,((VLOOKUP($Q295,$K$3:$M$6,2,FALSE))*(1+$L$7))),0)</f>
        <v>11460</v>
      </c>
      <c r="S295" s="122">
        <f>ROUND(IF($Q295=0,0,((VLOOKUP($Q295,$K$3:$M$6,3,FALSE))*(1+$M$7))),0)</f>
        <v>964</v>
      </c>
      <c r="T295" s="118">
        <f>SUM(R295,S295)</f>
        <v>12424</v>
      </c>
      <c r="U295" s="118">
        <f>SUM(L295:P295,T295)</f>
        <v>34692</v>
      </c>
      <c r="V295" s="118">
        <f>SUM(U295,J295)</f>
        <v>105994</v>
      </c>
      <c r="W295" s="111"/>
      <c r="X295" s="123"/>
    </row>
    <row r="296" spans="1:24" x14ac:dyDescent="0.2">
      <c r="A296" s="100" t="s">
        <v>703</v>
      </c>
      <c r="B296" s="100" t="s">
        <v>607</v>
      </c>
      <c r="C296" s="100" t="s">
        <v>644</v>
      </c>
      <c r="D296" s="124"/>
      <c r="E296" s="102" t="s">
        <v>704</v>
      </c>
      <c r="F296" s="103">
        <v>0</v>
      </c>
      <c r="G296" s="104">
        <v>23.93</v>
      </c>
      <c r="H296" s="104">
        <f>ROUND((G296*(1+$I$2)),2)</f>
        <v>23.93</v>
      </c>
      <c r="I296" s="126">
        <f t="shared" si="48"/>
        <v>0</v>
      </c>
      <c r="J296" s="106"/>
      <c r="K296" s="127"/>
      <c r="L296" s="108"/>
      <c r="M296" s="109"/>
      <c r="N296" s="108"/>
      <c r="O296" s="108"/>
      <c r="P296" s="108"/>
      <c r="Q296" s="128"/>
      <c r="R296" s="111"/>
      <c r="S296" s="111"/>
      <c r="T296" s="112"/>
      <c r="U296" s="108"/>
      <c r="V296" s="108"/>
      <c r="W296" s="111"/>
      <c r="X296" s="52"/>
    </row>
    <row r="297" spans="1:24" x14ac:dyDescent="0.2">
      <c r="A297" s="113"/>
      <c r="B297" s="113"/>
      <c r="C297" s="113"/>
      <c r="D297" s="114" t="s">
        <v>482</v>
      </c>
      <c r="E297" s="115" t="s">
        <v>705</v>
      </c>
      <c r="F297" s="116">
        <v>0</v>
      </c>
      <c r="G297" s="117">
        <v>24.32</v>
      </c>
      <c r="H297" s="117">
        <f>ROUND(IF($I$1="YES",(G297*(1+$I$2)),(G296*(1+$I$2))),2)</f>
        <v>23.93</v>
      </c>
      <c r="I297" s="129">
        <f t="shared" si="48"/>
        <v>0</v>
      </c>
      <c r="J297" s="119">
        <f>SUM(I296:I297)</f>
        <v>0</v>
      </c>
      <c r="K297" s="120" t="s">
        <v>104</v>
      </c>
      <c r="L297" s="118">
        <f>ROUND((VLOOKUP(K297,$D$2:$E$10,2,FALSE))*J297,0)</f>
        <v>0</v>
      </c>
      <c r="M297" s="119">
        <f>ROUND(IF(K297="N",0,(J297*$I$3)),0)</f>
        <v>0</v>
      </c>
      <c r="N297" s="118">
        <f>ROUND((J297*$I$4),0)</f>
        <v>0</v>
      </c>
      <c r="O297" s="118">
        <f>ROUND(J297*$I$5,0)</f>
        <v>0</v>
      </c>
      <c r="P297" s="118">
        <f>ROUND(J297*$I$6,0)</f>
        <v>0</v>
      </c>
      <c r="Q297" s="121"/>
      <c r="R297" s="122">
        <f>ROUND(IF($Q297=0,0,((VLOOKUP($Q297,$K$3:$M$6,2,FALSE))*(1+$L$7))),0)</f>
        <v>0</v>
      </c>
      <c r="S297" s="122">
        <f>ROUND(IF($Q297=0,0,((VLOOKUP($Q297,$K$3:$M$6,3,FALSE))*(1+$M$7))),0)</f>
        <v>0</v>
      </c>
      <c r="T297" s="118">
        <f>SUM(R297,S297)</f>
        <v>0</v>
      </c>
      <c r="U297" s="118">
        <f>SUM(L297:P297,T297)</f>
        <v>0</v>
      </c>
      <c r="V297" s="118">
        <f>SUM(U297,J297)</f>
        <v>0</v>
      </c>
      <c r="W297" s="111"/>
      <c r="X297" s="123"/>
    </row>
    <row r="298" spans="1:24" x14ac:dyDescent="0.2">
      <c r="A298" s="100" t="s">
        <v>611</v>
      </c>
      <c r="B298" s="100" t="s">
        <v>612</v>
      </c>
      <c r="C298" s="100" t="s">
        <v>613</v>
      </c>
      <c r="D298" s="101"/>
      <c r="E298" s="102" t="s">
        <v>615</v>
      </c>
      <c r="F298" s="103">
        <v>1456</v>
      </c>
      <c r="G298" s="104">
        <v>38.07</v>
      </c>
      <c r="H298" s="104">
        <f>ROUND((G298*(1+$I$2)),2)</f>
        <v>38.07</v>
      </c>
      <c r="I298" s="126">
        <f>ROUND((H298*F298),0)</f>
        <v>55430</v>
      </c>
      <c r="J298" s="106"/>
      <c r="K298" s="127"/>
      <c r="L298" s="108"/>
      <c r="M298" s="109"/>
      <c r="N298" s="108"/>
      <c r="O298" s="108"/>
      <c r="P298" s="108"/>
      <c r="Q298" s="128"/>
      <c r="R298" s="111"/>
      <c r="S298" s="111"/>
      <c r="T298" s="112"/>
      <c r="U298" s="108"/>
      <c r="V298" s="108"/>
      <c r="W298" s="111"/>
      <c r="X298" s="52"/>
    </row>
    <row r="299" spans="1:24" x14ac:dyDescent="0.2">
      <c r="A299" s="113"/>
      <c r="B299" s="113"/>
      <c r="C299" s="113"/>
      <c r="D299" s="114" t="s">
        <v>614</v>
      </c>
      <c r="E299" s="115" t="s">
        <v>619</v>
      </c>
      <c r="F299" s="116">
        <v>624</v>
      </c>
      <c r="G299" s="117">
        <v>38.82</v>
      </c>
      <c r="H299" s="117">
        <f>ROUND(IF($I$1="YES",(G299*(1+$I$2)),(G298*(1+$I$2))),2)</f>
        <v>38.07</v>
      </c>
      <c r="I299" s="118">
        <f>ROUND((H299*F299),0)</f>
        <v>23756</v>
      </c>
      <c r="J299" s="119">
        <f>SUM(I298:I299)</f>
        <v>79186</v>
      </c>
      <c r="K299" s="120" t="s">
        <v>78</v>
      </c>
      <c r="L299" s="118">
        <f>ROUND((VLOOKUP(K299,$D$2:$E$10,2,FALSE))*J299,0)</f>
        <v>15742</v>
      </c>
      <c r="M299" s="119">
        <f>ROUND(IF(K299="N",0,(J299*$I$3)),0)</f>
        <v>475</v>
      </c>
      <c r="N299" s="118">
        <f>ROUND((J299*$I$4),0)</f>
        <v>6058</v>
      </c>
      <c r="O299" s="118">
        <f>ROUND(J299*$I$5,0)</f>
        <v>1782</v>
      </c>
      <c r="P299" s="118">
        <f>ROUND(J299*$I$6,0)</f>
        <v>673</v>
      </c>
      <c r="Q299" s="121">
        <v>1</v>
      </c>
      <c r="R299" s="122">
        <f>ROUND(IF($Q299=0,0,((VLOOKUP($Q299,$K$3:$M$6,2,FALSE))*(1+$L$7))),0)</f>
        <v>4019</v>
      </c>
      <c r="S299" s="122">
        <f>ROUND(IF($Q299=0,0,((VLOOKUP($Q299,$K$3:$M$6,3,FALSE))*(1+$M$7))),0)</f>
        <v>324</v>
      </c>
      <c r="T299" s="118">
        <f>SUM(R299,S299)</f>
        <v>4343</v>
      </c>
      <c r="U299" s="118">
        <f>SUM(L299:P299,T299)</f>
        <v>29073</v>
      </c>
      <c r="V299" s="118">
        <f>SUM(U299,J299)</f>
        <v>108259</v>
      </c>
      <c r="W299" s="111"/>
      <c r="X299" s="123"/>
    </row>
    <row r="300" spans="1:24" x14ac:dyDescent="0.2">
      <c r="A300" s="40" t="s">
        <v>616</v>
      </c>
      <c r="B300" s="100" t="s">
        <v>612</v>
      </c>
      <c r="C300" s="100" t="s">
        <v>617</v>
      </c>
      <c r="D300" s="124"/>
      <c r="E300" s="125" t="s">
        <v>619</v>
      </c>
      <c r="F300" s="103">
        <v>400</v>
      </c>
      <c r="G300" s="104">
        <v>38.82</v>
      </c>
      <c r="H300" s="104">
        <f>ROUND((G300*(1+$I$2)),2)</f>
        <v>38.82</v>
      </c>
      <c r="I300" s="126">
        <f t="shared" ref="I300:I305" si="50">ROUND((H300*F300),0)</f>
        <v>15528</v>
      </c>
      <c r="J300" s="106"/>
      <c r="K300" s="127"/>
      <c r="L300" s="108"/>
      <c r="M300" s="109"/>
      <c r="N300" s="108"/>
      <c r="O300" s="108"/>
      <c r="P300" s="108"/>
      <c r="Q300" s="128"/>
      <c r="R300" s="111"/>
      <c r="S300" s="111"/>
      <c r="T300" s="112"/>
      <c r="U300" s="108"/>
      <c r="V300" s="108"/>
      <c r="W300" s="111"/>
      <c r="X300" s="52"/>
    </row>
    <row r="301" spans="1:24" x14ac:dyDescent="0.2">
      <c r="A301" s="113"/>
      <c r="B301" s="113"/>
      <c r="C301" s="113"/>
      <c r="D301" s="114" t="s">
        <v>618</v>
      </c>
      <c r="E301" s="115" t="s">
        <v>620</v>
      </c>
      <c r="F301" s="116">
        <v>1680</v>
      </c>
      <c r="G301" s="117">
        <v>39.6</v>
      </c>
      <c r="H301" s="117">
        <f>ROUND(IF($I$1="YES",(G301*(1+$I$2)),(G300*(1+$I$2))),2)</f>
        <v>38.82</v>
      </c>
      <c r="I301" s="129">
        <f t="shared" si="50"/>
        <v>65218</v>
      </c>
      <c r="J301" s="119">
        <f>SUM(I300:I301)</f>
        <v>80746</v>
      </c>
      <c r="K301" s="120" t="s">
        <v>78</v>
      </c>
      <c r="L301" s="118">
        <f>ROUND((VLOOKUP(K301,$D$2:$E$10,2,FALSE))*J301,0)</f>
        <v>16052</v>
      </c>
      <c r="M301" s="119">
        <f>ROUND(IF(K301="N",0,(J301*$I$3)),0)</f>
        <v>484</v>
      </c>
      <c r="N301" s="118">
        <f>ROUND((J301*$I$4),0)</f>
        <v>6177</v>
      </c>
      <c r="O301" s="118">
        <f>ROUND(J301*$I$5,0)</f>
        <v>1817</v>
      </c>
      <c r="P301" s="118">
        <f>ROUND(J301*$I$6,0)</f>
        <v>686</v>
      </c>
      <c r="Q301" s="121">
        <v>1</v>
      </c>
      <c r="R301" s="122">
        <f>ROUND(IF($Q301=0,0,((VLOOKUP($Q301,$K$3:$M$6,2,FALSE))*(1+$L$7))),0)</f>
        <v>4019</v>
      </c>
      <c r="S301" s="122">
        <f>ROUND(IF($Q301=0,0,((VLOOKUP($Q301,$K$3:$M$6,3,FALSE))*(1+$M$7))),0)</f>
        <v>324</v>
      </c>
      <c r="T301" s="118">
        <f>SUM(R301,S301)</f>
        <v>4343</v>
      </c>
      <c r="U301" s="118">
        <f>SUM(L301:P301,T301)</f>
        <v>29559</v>
      </c>
      <c r="V301" s="118">
        <f>SUM(U301,J301)</f>
        <v>110305</v>
      </c>
      <c r="W301" s="111"/>
      <c r="X301" s="123"/>
    </row>
    <row r="302" spans="1:24" x14ac:dyDescent="0.2">
      <c r="A302" s="40" t="s">
        <v>621</v>
      </c>
      <c r="B302" s="100" t="s">
        <v>612</v>
      </c>
      <c r="C302" s="100" t="s">
        <v>622</v>
      </c>
      <c r="D302" s="124"/>
      <c r="E302" s="102" t="s">
        <v>619</v>
      </c>
      <c r="F302" s="103">
        <v>576</v>
      </c>
      <c r="G302" s="104">
        <v>38.82</v>
      </c>
      <c r="H302" s="104">
        <f>ROUND((G302*(1+$I$2)),2)</f>
        <v>38.82</v>
      </c>
      <c r="I302" s="126">
        <f t="shared" si="50"/>
        <v>22360</v>
      </c>
      <c r="J302" s="106"/>
      <c r="K302" s="127"/>
      <c r="L302" s="108"/>
      <c r="M302" s="109"/>
      <c r="N302" s="108"/>
      <c r="O302" s="108"/>
      <c r="P302" s="108"/>
      <c r="Q302" s="128"/>
      <c r="R302" s="111"/>
      <c r="S302" s="111"/>
      <c r="T302" s="112"/>
      <c r="U302" s="108"/>
      <c r="V302" s="108"/>
      <c r="W302" s="111"/>
      <c r="X302" s="123"/>
    </row>
    <row r="303" spans="1:24" x14ac:dyDescent="0.2">
      <c r="A303" s="113"/>
      <c r="B303" s="113"/>
      <c r="C303" s="113"/>
      <c r="D303" s="114" t="s">
        <v>623</v>
      </c>
      <c r="E303" s="115" t="s">
        <v>620</v>
      </c>
      <c r="F303" s="116">
        <v>1504</v>
      </c>
      <c r="G303" s="117">
        <v>39.6</v>
      </c>
      <c r="H303" s="117">
        <f>ROUND(IF($I$1="YES",(G303*(1+$I$2)),(G302*(1+$I$2))),2)</f>
        <v>38.82</v>
      </c>
      <c r="I303" s="129">
        <f t="shared" si="50"/>
        <v>58385</v>
      </c>
      <c r="J303" s="119">
        <f>SUM(I302:I303)</f>
        <v>80745</v>
      </c>
      <c r="K303" s="120" t="s">
        <v>78</v>
      </c>
      <c r="L303" s="118">
        <f>ROUND((VLOOKUP(K303,$D$2:$E$10,2,FALSE))*J303,0)</f>
        <v>16052</v>
      </c>
      <c r="M303" s="119">
        <f>ROUND(IF(K303="N",0,(J303*$I$3)),0)</f>
        <v>484</v>
      </c>
      <c r="N303" s="118">
        <f>ROUND((J303*$I$4),0)</f>
        <v>6177</v>
      </c>
      <c r="O303" s="118">
        <f>ROUND(J303*$I$5,0)</f>
        <v>1817</v>
      </c>
      <c r="P303" s="118">
        <f>ROUND(J303*$I$6,0)</f>
        <v>686</v>
      </c>
      <c r="Q303" s="121">
        <v>2</v>
      </c>
      <c r="R303" s="122">
        <f>ROUND(IF($Q303=0,0,((VLOOKUP($Q303,$K$3:$M$6,2,FALSE))*(1+$L$7))),0)</f>
        <v>9458</v>
      </c>
      <c r="S303" s="122">
        <f>ROUND(IF($Q303=0,0,((VLOOKUP($Q303,$K$3:$M$6,3,FALSE))*(1+$M$7))),0)</f>
        <v>625</v>
      </c>
      <c r="T303" s="118">
        <f>SUM(R303,S303)</f>
        <v>10083</v>
      </c>
      <c r="U303" s="118">
        <f>SUM(L303:P303,T303)</f>
        <v>35299</v>
      </c>
      <c r="V303" s="118">
        <f>SUM(U303,J303)</f>
        <v>116044</v>
      </c>
      <c r="W303" s="111"/>
      <c r="X303" s="111"/>
    </row>
    <row r="304" spans="1:24" x14ac:dyDescent="0.2">
      <c r="A304" s="100" t="s">
        <v>624</v>
      </c>
      <c r="B304" s="100" t="s">
        <v>612</v>
      </c>
      <c r="C304" s="100" t="s">
        <v>625</v>
      </c>
      <c r="D304" s="124"/>
      <c r="E304" s="102" t="s">
        <v>620</v>
      </c>
      <c r="F304" s="103">
        <v>2016</v>
      </c>
      <c r="G304" s="104">
        <v>39.6</v>
      </c>
      <c r="H304" s="104">
        <f>ROUND((G304*(1+$I$2)),2)</f>
        <v>39.6</v>
      </c>
      <c r="I304" s="126">
        <f t="shared" si="50"/>
        <v>79834</v>
      </c>
      <c r="J304" s="106"/>
      <c r="K304" s="127"/>
      <c r="L304" s="108"/>
      <c r="M304" s="109"/>
      <c r="N304" s="108"/>
      <c r="O304" s="108"/>
      <c r="P304" s="108"/>
      <c r="Q304" s="128"/>
      <c r="R304" s="111"/>
      <c r="S304" s="111"/>
      <c r="T304" s="112"/>
      <c r="U304" s="108"/>
      <c r="V304" s="108"/>
      <c r="W304" s="111"/>
      <c r="X304" s="111"/>
    </row>
    <row r="305" spans="1:24" x14ac:dyDescent="0.2">
      <c r="A305" s="113"/>
      <c r="B305" s="113"/>
      <c r="C305" s="113"/>
      <c r="D305" s="114" t="s">
        <v>626</v>
      </c>
      <c r="E305" s="115" t="s">
        <v>627</v>
      </c>
      <c r="F305" s="116">
        <v>64</v>
      </c>
      <c r="G305" s="117">
        <v>40.380000000000003</v>
      </c>
      <c r="H305" s="117">
        <f>ROUND(IF($I$1="YES",(G305*(1+$I$2)),(G304*(1+$I$2))),2)</f>
        <v>39.6</v>
      </c>
      <c r="I305" s="129">
        <f t="shared" si="50"/>
        <v>2534</v>
      </c>
      <c r="J305" s="119">
        <f>SUM(I304:I305)</f>
        <v>82368</v>
      </c>
      <c r="K305" s="120" t="s">
        <v>78</v>
      </c>
      <c r="L305" s="118">
        <f>ROUND((VLOOKUP(K305,$D$2:$E$10,2,FALSE))*J305,0)</f>
        <v>16375</v>
      </c>
      <c r="M305" s="119">
        <f>ROUND(IF(K305="N",0,(J305*$I$3)),0)</f>
        <v>494</v>
      </c>
      <c r="N305" s="118">
        <f>ROUND((J305*$I$4),0)</f>
        <v>6301</v>
      </c>
      <c r="O305" s="118">
        <f>ROUND(J305*$I$5,0)</f>
        <v>1853</v>
      </c>
      <c r="P305" s="118">
        <f>ROUND(J305*$I$6,0)</f>
        <v>700</v>
      </c>
      <c r="Q305" s="121">
        <v>2</v>
      </c>
      <c r="R305" s="122">
        <f>ROUND(IF($Q305=0,0,((VLOOKUP($Q305,$K$3:$M$6,2,FALSE))*(1+$L$7))),0)</f>
        <v>9458</v>
      </c>
      <c r="S305" s="122">
        <f>ROUND(IF($Q305=0,0,((VLOOKUP($Q305,$K$3:$M$6,3,FALSE))*(1+$M$7))),0)</f>
        <v>625</v>
      </c>
      <c r="T305" s="118">
        <f>SUM(R305,S305)</f>
        <v>10083</v>
      </c>
      <c r="U305" s="118">
        <f>SUM(L305:P305,T305)</f>
        <v>35806</v>
      </c>
      <c r="V305" s="118">
        <f>SUM(U305,J305)</f>
        <v>118174</v>
      </c>
      <c r="W305" s="111"/>
      <c r="X305" s="111"/>
    </row>
    <row r="306" spans="1:24" x14ac:dyDescent="0.2">
      <c r="A306" s="100" t="s">
        <v>628</v>
      </c>
      <c r="B306" s="100" t="s">
        <v>629</v>
      </c>
      <c r="C306" s="100" t="s">
        <v>630</v>
      </c>
      <c r="D306" s="101"/>
      <c r="E306" s="102" t="s">
        <v>632</v>
      </c>
      <c r="F306" s="103">
        <v>1696</v>
      </c>
      <c r="G306" s="104">
        <v>25.17</v>
      </c>
      <c r="H306" s="104">
        <f>ROUND((G306*(1+$I$2)),2)</f>
        <v>25.17</v>
      </c>
      <c r="I306" s="126">
        <f>ROUND((H306*F306),0)</f>
        <v>42688</v>
      </c>
      <c r="J306" s="106"/>
      <c r="K306" s="127"/>
      <c r="L306" s="108"/>
      <c r="M306" s="109"/>
      <c r="N306" s="108"/>
      <c r="O306" s="108"/>
      <c r="P306" s="108"/>
      <c r="Q306" s="128"/>
      <c r="R306" s="111"/>
      <c r="S306" s="111"/>
      <c r="T306" s="112"/>
      <c r="U306" s="108"/>
      <c r="V306" s="108"/>
    </row>
    <row r="307" spans="1:24" x14ac:dyDescent="0.2">
      <c r="A307" s="113"/>
      <c r="B307" s="113"/>
      <c r="C307" s="113"/>
      <c r="D307" s="114" t="s">
        <v>631</v>
      </c>
      <c r="E307" s="115" t="s">
        <v>633</v>
      </c>
      <c r="F307" s="116">
        <v>384</v>
      </c>
      <c r="G307" s="117">
        <v>25.67</v>
      </c>
      <c r="H307" s="117">
        <f>ROUND(IF($I$1="YES",(G307*(1+$I$2)),(G306*(1+$I$2))),2)</f>
        <v>25.17</v>
      </c>
      <c r="I307" s="118">
        <f>ROUND((H307*F307),0)</f>
        <v>9665</v>
      </c>
      <c r="J307" s="119">
        <f>SUM(I306:I307)</f>
        <v>52353</v>
      </c>
      <c r="K307" s="120" t="s">
        <v>78</v>
      </c>
      <c r="L307" s="118">
        <f>ROUND((VLOOKUP(K307,$D$2:$E$10,2,FALSE))*J307,0)</f>
        <v>10408</v>
      </c>
      <c r="M307" s="119">
        <f>ROUND(IF(K307="N",0,(J307*$I$3)),0)</f>
        <v>314</v>
      </c>
      <c r="N307" s="118">
        <f>ROUND((J307*$I$4),0)</f>
        <v>4005</v>
      </c>
      <c r="O307" s="118">
        <f>ROUND(J307*$I$5,0)</f>
        <v>1178</v>
      </c>
      <c r="P307" s="118">
        <f>ROUND(J307*$I$6,0)</f>
        <v>445</v>
      </c>
      <c r="Q307" s="121">
        <v>2</v>
      </c>
      <c r="R307" s="122">
        <f>ROUND(IF($Q307=0,0,((VLOOKUP($Q307,$K$3:$M$6,2,FALSE))*(1+$L$7))),0)</f>
        <v>9458</v>
      </c>
      <c r="S307" s="122">
        <f>ROUND(IF($Q307=0,0,((VLOOKUP($Q307,$K$3:$M$6,3,FALSE))*(1+$M$7))),0)</f>
        <v>625</v>
      </c>
      <c r="T307" s="118">
        <f>SUM(R307,S307)</f>
        <v>10083</v>
      </c>
      <c r="U307" s="118">
        <f>SUM(L307:P307,T307)</f>
        <v>26433</v>
      </c>
      <c r="V307" s="118">
        <f>SUM(U307,J307)</f>
        <v>78786</v>
      </c>
    </row>
    <row r="308" spans="1:24" x14ac:dyDescent="0.2">
      <c r="A308" s="40" t="s">
        <v>706</v>
      </c>
      <c r="B308" s="100" t="s">
        <v>635</v>
      </c>
      <c r="C308" s="100" t="s">
        <v>644</v>
      </c>
      <c r="D308" s="124"/>
      <c r="E308" s="125" t="s">
        <v>707</v>
      </c>
      <c r="F308" s="103">
        <v>0</v>
      </c>
      <c r="G308" s="104">
        <v>28.98</v>
      </c>
      <c r="H308" s="104">
        <f>ROUND((G308*(1+$I$2)),2)</f>
        <v>28.98</v>
      </c>
      <c r="I308" s="126">
        <f t="shared" ref="I308:I309" si="51">ROUND((H308*F308),0)</f>
        <v>0</v>
      </c>
      <c r="J308" s="106"/>
      <c r="K308" s="127"/>
      <c r="L308" s="108"/>
      <c r="M308" s="109"/>
      <c r="N308" s="108"/>
      <c r="O308" s="108"/>
      <c r="P308" s="108"/>
      <c r="Q308" s="128"/>
      <c r="R308" s="111"/>
      <c r="S308" s="111"/>
      <c r="T308" s="112"/>
      <c r="U308" s="108"/>
      <c r="V308" s="108"/>
    </row>
    <row r="309" spans="1:24" x14ac:dyDescent="0.2">
      <c r="A309" s="113"/>
      <c r="B309" s="113"/>
      <c r="C309" s="113"/>
      <c r="D309" s="114" t="s">
        <v>278</v>
      </c>
      <c r="E309" s="115" t="s">
        <v>708</v>
      </c>
      <c r="F309" s="116">
        <v>0</v>
      </c>
      <c r="G309" s="117">
        <v>29.38</v>
      </c>
      <c r="H309" s="117">
        <f>ROUND(IF($I$1="YES",(G309*(1+$I$2)),(G308*(1+$I$2))),2)</f>
        <v>28.98</v>
      </c>
      <c r="I309" s="129">
        <f t="shared" si="51"/>
        <v>0</v>
      </c>
      <c r="J309" s="119">
        <f>SUM(I308:I309)</f>
        <v>0</v>
      </c>
      <c r="K309" s="120" t="s">
        <v>104</v>
      </c>
      <c r="L309" s="118">
        <f>ROUND((VLOOKUP(K309,$D$2:$E$10,2,FALSE))*J309,0)</f>
        <v>0</v>
      </c>
      <c r="M309" s="119">
        <f>ROUND(IF(K309="N",0,(J309*$I$3)),0)</f>
        <v>0</v>
      </c>
      <c r="N309" s="118">
        <f>ROUND((J309*$I$4),0)</f>
        <v>0</v>
      </c>
      <c r="O309" s="118">
        <f>ROUND(J309*$I$5,0)</f>
        <v>0</v>
      </c>
      <c r="P309" s="118">
        <f>ROUND(J309*$I$6,0)</f>
        <v>0</v>
      </c>
      <c r="Q309" s="121"/>
      <c r="R309" s="122">
        <f>ROUND(IF($Q309=0,0,((VLOOKUP($Q309,$K$3:$M$6,2,FALSE))*(1+$L$7))),0)</f>
        <v>0</v>
      </c>
      <c r="S309" s="122">
        <f>ROUND(IF($Q309=0,0,((VLOOKUP($Q309,$K$3:$M$6,3,FALSE))*(1+$M$7))),0)</f>
        <v>0</v>
      </c>
      <c r="T309" s="118">
        <f>SUM(R309,S309)</f>
        <v>0</v>
      </c>
      <c r="U309" s="118">
        <f>SUM(L309:P309,T309)</f>
        <v>0</v>
      </c>
      <c r="V309" s="118">
        <f>SUM(U309,J309)</f>
        <v>0</v>
      </c>
    </row>
    <row r="310" spans="1:24" x14ac:dyDescent="0.2">
      <c r="A310" s="40" t="s">
        <v>634</v>
      </c>
      <c r="B310" s="100" t="s">
        <v>635</v>
      </c>
      <c r="C310" s="100" t="s">
        <v>636</v>
      </c>
      <c r="D310" s="124"/>
      <c r="E310" s="125" t="s">
        <v>637</v>
      </c>
      <c r="F310" s="103">
        <v>0</v>
      </c>
      <c r="G310" s="104">
        <v>47.11</v>
      </c>
      <c r="H310" s="104">
        <f>ROUND((G310*(1+$I$2)),2)</f>
        <v>47.11</v>
      </c>
      <c r="I310" s="126">
        <f t="shared" ref="I310:I313" si="52">ROUND((H310*F310),0)</f>
        <v>0</v>
      </c>
      <c r="J310" s="106"/>
      <c r="K310" s="127"/>
      <c r="L310" s="108"/>
      <c r="M310" s="109"/>
      <c r="N310" s="108"/>
      <c r="O310" s="108"/>
      <c r="P310" s="108"/>
      <c r="Q310" s="128"/>
      <c r="R310" s="111"/>
      <c r="S310" s="111"/>
      <c r="T310" s="112"/>
      <c r="U310" s="108"/>
      <c r="V310" s="108"/>
    </row>
    <row r="311" spans="1:24" x14ac:dyDescent="0.2">
      <c r="A311" s="113"/>
      <c r="B311" s="113"/>
      <c r="C311" s="113"/>
      <c r="D311" s="114" t="s">
        <v>278</v>
      </c>
      <c r="E311" s="115" t="s">
        <v>638</v>
      </c>
      <c r="F311" s="116">
        <v>2080</v>
      </c>
      <c r="G311" s="117">
        <v>48.06</v>
      </c>
      <c r="H311" s="117">
        <f>ROUND(IF($I$1="YES",(G311*(1+$I$2)),(G310*(1+$I$2))),2)</f>
        <v>47.11</v>
      </c>
      <c r="I311" s="129">
        <f t="shared" si="52"/>
        <v>97989</v>
      </c>
      <c r="J311" s="119">
        <f>SUM(I310:I311)</f>
        <v>97989</v>
      </c>
      <c r="K311" s="120" t="s">
        <v>78</v>
      </c>
      <c r="L311" s="118">
        <f>ROUND((VLOOKUP(K311,$D$2:$E$10,2,FALSE))*J311,0)</f>
        <v>19480</v>
      </c>
      <c r="M311" s="119">
        <f>ROUND(IF(K311="N",0,(J311*$I$3)),0)</f>
        <v>588</v>
      </c>
      <c r="N311" s="118">
        <f>ROUND((J311*$I$4),0)</f>
        <v>7496</v>
      </c>
      <c r="O311" s="118">
        <f>ROUND(J311*$I$5,0)</f>
        <v>2205</v>
      </c>
      <c r="P311" s="118">
        <f>ROUND(J311*$I$6,0)</f>
        <v>833</v>
      </c>
      <c r="Q311" s="121">
        <v>3</v>
      </c>
      <c r="R311" s="122">
        <f>ROUND(IF($Q311=0,0,((VLOOKUP($Q311,$K$3:$M$6,2,FALSE))*(1+$L$7))),0)</f>
        <v>11460</v>
      </c>
      <c r="S311" s="122">
        <f>ROUND(IF($Q311=0,0,((VLOOKUP($Q311,$K$3:$M$6,3,FALSE))*(1+$M$7))),0)</f>
        <v>964</v>
      </c>
      <c r="T311" s="118">
        <f>SUM(R311,S311)</f>
        <v>12424</v>
      </c>
      <c r="U311" s="118">
        <f>SUM(L311:P311,T311)</f>
        <v>43026</v>
      </c>
      <c r="V311" s="118">
        <f>SUM(U311,J311)</f>
        <v>141015</v>
      </c>
    </row>
    <row r="312" spans="1:24" x14ac:dyDescent="0.2">
      <c r="A312" s="40" t="s">
        <v>639</v>
      </c>
      <c r="B312" s="100" t="s">
        <v>640</v>
      </c>
      <c r="C312" s="100" t="s">
        <v>641</v>
      </c>
      <c r="D312" s="124"/>
      <c r="E312" s="102" t="s">
        <v>642</v>
      </c>
      <c r="F312" s="103">
        <v>0</v>
      </c>
      <c r="G312" s="104">
        <v>54.63</v>
      </c>
      <c r="H312" s="104">
        <f>ROUND((G312*(1+$I$2)),2)</f>
        <v>54.63</v>
      </c>
      <c r="I312" s="126">
        <f t="shared" si="52"/>
        <v>0</v>
      </c>
      <c r="J312" s="106"/>
      <c r="K312" s="127"/>
      <c r="L312" s="108"/>
      <c r="M312" s="109"/>
      <c r="N312" s="108"/>
      <c r="O312" s="108"/>
      <c r="P312" s="108"/>
      <c r="Q312" s="128"/>
      <c r="R312" s="111"/>
      <c r="S312" s="111"/>
      <c r="T312" s="112"/>
      <c r="U312" s="108"/>
      <c r="V312" s="108"/>
    </row>
    <row r="313" spans="1:24" x14ac:dyDescent="0.2">
      <c r="A313" s="113"/>
      <c r="B313" s="113"/>
      <c r="C313" s="113"/>
      <c r="D313" s="114" t="s">
        <v>278</v>
      </c>
      <c r="E313" s="115" t="s">
        <v>643</v>
      </c>
      <c r="F313" s="116">
        <v>2080</v>
      </c>
      <c r="G313" s="117">
        <v>55.72</v>
      </c>
      <c r="H313" s="117">
        <f>ROUND(IF($I$1="YES",(G313*(1+$I$2)),(G312*(1+$I$2))),2)</f>
        <v>54.63</v>
      </c>
      <c r="I313" s="129">
        <f t="shared" si="52"/>
        <v>113630</v>
      </c>
      <c r="J313" s="119">
        <f>SUM(I312:I313)</f>
        <v>113630</v>
      </c>
      <c r="K313" s="120" t="s">
        <v>78</v>
      </c>
      <c r="L313" s="118">
        <f>ROUND((VLOOKUP(K313,$D$2:$E$10,2,FALSE))*J313,0)</f>
        <v>22590</v>
      </c>
      <c r="M313" s="119">
        <f>ROUND(IF(K313="N",0,(J313*$I$3)),0)</f>
        <v>682</v>
      </c>
      <c r="N313" s="118">
        <f>ROUND((J313*$I$4),0)</f>
        <v>8693</v>
      </c>
      <c r="O313" s="118">
        <f>ROUND(J313*$I$5,0)</f>
        <v>2557</v>
      </c>
      <c r="P313" s="118">
        <f>ROUND(J313*$I$6,0)</f>
        <v>966</v>
      </c>
      <c r="Q313" s="121">
        <v>3</v>
      </c>
      <c r="R313" s="122">
        <f>ROUND(IF($Q313=0,0,((VLOOKUP($Q313,$K$3:$M$6,2,FALSE))*(1+$L$7))),0)</f>
        <v>11460</v>
      </c>
      <c r="S313" s="122">
        <f>ROUND(IF($Q313=0,0,((VLOOKUP($Q313,$K$3:$M$6,3,FALSE))*(1+$M$7))),0)</f>
        <v>964</v>
      </c>
      <c r="T313" s="118">
        <f>SUM(R313,S313)</f>
        <v>12424</v>
      </c>
      <c r="U313" s="118">
        <f>SUM(L313:P313,T313)</f>
        <v>47912</v>
      </c>
      <c r="V313" s="118">
        <f>SUM(U313,J313)</f>
        <v>161542</v>
      </c>
    </row>
    <row r="314" spans="1:24" x14ac:dyDescent="0.2">
      <c r="A314" s="130"/>
      <c r="B314" s="130"/>
      <c r="C314" s="130"/>
      <c r="D314" s="131"/>
      <c r="E314" s="132"/>
      <c r="F314" s="130"/>
      <c r="G314" s="133"/>
      <c r="H314" s="133"/>
      <c r="I314" s="134"/>
      <c r="J314" s="135"/>
      <c r="K314" s="136"/>
      <c r="L314" s="137"/>
      <c r="M314" s="135"/>
      <c r="N314" s="137"/>
      <c r="O314" s="137"/>
      <c r="P314" s="137"/>
      <c r="Q314" s="138"/>
      <c r="R314" s="139"/>
      <c r="S314" s="139"/>
      <c r="T314" s="137"/>
      <c r="U314" s="137"/>
      <c r="V314" s="137"/>
    </row>
    <row r="315" spans="1:24" x14ac:dyDescent="0.2">
      <c r="A315" s="113"/>
      <c r="B315" s="113"/>
      <c r="C315" s="113"/>
      <c r="D315" s="140" t="s">
        <v>129</v>
      </c>
      <c r="E315" s="141">
        <f>F315/2080</f>
        <v>86.641346153846158</v>
      </c>
      <c r="F315" s="142">
        <f>SUM(F16:F314)</f>
        <v>180214</v>
      </c>
      <c r="G315" s="143"/>
      <c r="H315" s="143"/>
      <c r="I315" s="144"/>
      <c r="J315" s="145">
        <f>SUBTOTAL(9,J16:J314)</f>
        <v>3211751</v>
      </c>
      <c r="K315" s="146"/>
      <c r="L315" s="144">
        <f>SUBTOTAL(9,L16:L314)</f>
        <v>600562</v>
      </c>
      <c r="M315" s="145">
        <f>SUBTOTAL(9,M16:M314)</f>
        <v>18395</v>
      </c>
      <c r="N315" s="144">
        <f>SUBTOTAL(9,N16:N314)</f>
        <v>245702</v>
      </c>
      <c r="O315" s="145">
        <f>SUBTOTAL(9,O16:O314)</f>
        <v>72273</v>
      </c>
      <c r="P315" s="144">
        <f>SUBTOTAL(9,P16:P314)</f>
        <v>27301</v>
      </c>
      <c r="Q315" s="147"/>
      <c r="R315" s="147">
        <f>SUBTOTAL(9,R16:R314)</f>
        <v>392374</v>
      </c>
      <c r="S315" s="147">
        <f>SUBTOTAL(9,S16:S314)</f>
        <v>29937</v>
      </c>
      <c r="T315" s="144">
        <f>SUBTOTAL(9,T16:T314)</f>
        <v>422311</v>
      </c>
      <c r="U315" s="144">
        <f>SUBTOTAL(9,U16:U314)</f>
        <v>1386544</v>
      </c>
      <c r="V315" s="144">
        <f>SUBTOTAL(9,V16:V314)</f>
        <v>4598295</v>
      </c>
    </row>
    <row r="316" spans="1:24" x14ac:dyDescent="0.2">
      <c r="B316" s="148" t="s">
        <v>130</v>
      </c>
      <c r="J316" s="106"/>
      <c r="K316" s="149"/>
      <c r="L316" s="150"/>
      <c r="M316" s="106"/>
      <c r="N316" s="150"/>
      <c r="O316" s="150"/>
      <c r="P316" s="150"/>
      <c r="Q316" s="111"/>
      <c r="R316" s="111"/>
      <c r="S316" s="111"/>
      <c r="T316" s="150"/>
      <c r="U316" s="150"/>
      <c r="V316" s="150"/>
    </row>
    <row r="317" spans="1:24" x14ac:dyDescent="0.2">
      <c r="C317" s="252" t="s">
        <v>709</v>
      </c>
      <c r="G317" s="148"/>
      <c r="H317" s="279">
        <v>300</v>
      </c>
      <c r="I317" s="152">
        <f>+H317*12</f>
        <v>3600</v>
      </c>
      <c r="J317" s="106">
        <f>+I317</f>
        <v>3600</v>
      </c>
      <c r="K317" s="149"/>
      <c r="L317" s="150">
        <v>0</v>
      </c>
      <c r="M317" s="106">
        <v>0</v>
      </c>
      <c r="N317" s="150">
        <f>ROUND((J317*$I$4),0)</f>
        <v>275</v>
      </c>
      <c r="O317" s="106">
        <v>0</v>
      </c>
      <c r="P317" s="150">
        <v>0</v>
      </c>
      <c r="Q317" s="153"/>
      <c r="R317" s="111">
        <v>0</v>
      </c>
      <c r="S317" s="111">
        <v>0</v>
      </c>
      <c r="T317" s="150">
        <v>0</v>
      </c>
      <c r="U317" s="150">
        <f>SUM(K317:P317,T317)</f>
        <v>275</v>
      </c>
      <c r="V317" s="150">
        <f>SUM(U317,J317)</f>
        <v>3875</v>
      </c>
    </row>
    <row r="318" spans="1:24" x14ac:dyDescent="0.2">
      <c r="C318" s="252" t="s">
        <v>710</v>
      </c>
      <c r="G318" s="148"/>
      <c r="H318" s="151">
        <v>200</v>
      </c>
      <c r="I318" s="152">
        <f>+H318*12</f>
        <v>2400</v>
      </c>
      <c r="J318" s="106">
        <f>+I318</f>
        <v>2400</v>
      </c>
      <c r="K318" s="149"/>
      <c r="L318" s="150">
        <v>0</v>
      </c>
      <c r="M318" s="106">
        <v>0</v>
      </c>
      <c r="N318" s="150">
        <f>ROUND((J318*$I$4),0)</f>
        <v>184</v>
      </c>
      <c r="O318" s="106">
        <v>0</v>
      </c>
      <c r="P318" s="150">
        <v>0</v>
      </c>
      <c r="Q318" s="111"/>
      <c r="R318" s="111">
        <v>0</v>
      </c>
      <c r="S318" s="111">
        <v>0</v>
      </c>
      <c r="T318" s="150">
        <v>0</v>
      </c>
      <c r="U318" s="150">
        <f>SUM(K318:P318,T318)</f>
        <v>184</v>
      </c>
      <c r="V318" s="150">
        <f>SUM(U318,J318)</f>
        <v>2584</v>
      </c>
    </row>
    <row r="319" spans="1:24" s="259" customFormat="1" x14ac:dyDescent="0.2">
      <c r="C319" s="259" t="s">
        <v>712</v>
      </c>
      <c r="G319" s="254"/>
      <c r="H319" s="278">
        <v>200</v>
      </c>
      <c r="I319" s="152">
        <f>+H319*12</f>
        <v>2400</v>
      </c>
      <c r="J319" s="282">
        <v>2400</v>
      </c>
      <c r="K319" s="149"/>
      <c r="L319" s="150"/>
      <c r="M319" s="106"/>
      <c r="N319" s="281">
        <v>184</v>
      </c>
      <c r="O319" s="106"/>
      <c r="P319" s="150"/>
      <c r="Q319" s="111"/>
      <c r="R319" s="111"/>
      <c r="S319" s="111"/>
      <c r="T319" s="150"/>
      <c r="U319" s="150">
        <f>SUM(K319:P319,T319)</f>
        <v>184</v>
      </c>
      <c r="V319" s="150">
        <f>SUM(U319,J319)</f>
        <v>2584</v>
      </c>
    </row>
    <row r="320" spans="1:24" x14ac:dyDescent="0.2">
      <c r="A320" s="113"/>
      <c r="B320" s="113"/>
      <c r="C320" s="253"/>
      <c r="D320" s="113"/>
      <c r="E320" s="113"/>
      <c r="F320" s="113"/>
      <c r="G320" s="154"/>
      <c r="H320" s="317" t="s">
        <v>767</v>
      </c>
      <c r="I320" s="154"/>
      <c r="J320" s="283">
        <f>SUBTOTAL(9,J317:J319)</f>
        <v>8400</v>
      </c>
      <c r="K320" s="155"/>
      <c r="L320" s="284">
        <f>SUBTOTAL(9,L318:L319)</f>
        <v>0</v>
      </c>
      <c r="M320" s="283">
        <f>SUBTOTAL(9,M318:M319)</f>
        <v>0</v>
      </c>
      <c r="N320" s="284">
        <f>SUBTOTAL(9,N317:N319)</f>
        <v>643</v>
      </c>
      <c r="O320" s="283">
        <f>SUBTOTAL(9,O318:O319)</f>
        <v>0</v>
      </c>
      <c r="P320" s="284">
        <f>SUBTOTAL(9,P318:P319)</f>
        <v>0</v>
      </c>
      <c r="Q320" s="156"/>
      <c r="R320" s="156">
        <f>SUBTOTAL(9,R318:R319)</f>
        <v>0</v>
      </c>
      <c r="S320" s="156">
        <f>SUBTOTAL(9,S318:S319)</f>
        <v>0</v>
      </c>
      <c r="T320" s="284">
        <f>SUBTOTAL(9,T318:T319)</f>
        <v>0</v>
      </c>
      <c r="U320" s="284">
        <f>SUBTOTAL(9,U317:U319)</f>
        <v>643</v>
      </c>
      <c r="V320" s="284">
        <f>SUBTOTAL(9,V317:V319)</f>
        <v>9043</v>
      </c>
    </row>
    <row r="321" spans="1:22" x14ac:dyDescent="0.2">
      <c r="B321" s="148" t="s">
        <v>131</v>
      </c>
      <c r="G321" s="108"/>
      <c r="H321" s="316"/>
      <c r="J321" s="109"/>
      <c r="K321" s="157"/>
      <c r="L321" s="108"/>
      <c r="M321" s="109"/>
      <c r="N321" s="108"/>
      <c r="O321" s="108"/>
      <c r="P321" s="108"/>
      <c r="Q321" s="52"/>
      <c r="R321" s="52"/>
      <c r="S321" s="52"/>
      <c r="T321" s="108"/>
      <c r="U321" s="108"/>
      <c r="V321" s="108"/>
    </row>
    <row r="322" spans="1:22" x14ac:dyDescent="0.2">
      <c r="C322" s="259" t="s">
        <v>709</v>
      </c>
      <c r="G322" s="148"/>
      <c r="H322" s="315">
        <v>70</v>
      </c>
      <c r="I322" s="152">
        <f t="shared" ref="I322:I327" si="53">+H322*12</f>
        <v>840</v>
      </c>
      <c r="J322" s="106">
        <f t="shared" ref="J322:J327" si="54">+I322</f>
        <v>840</v>
      </c>
      <c r="K322" s="149"/>
      <c r="L322" s="150">
        <v>0</v>
      </c>
      <c r="M322" s="106">
        <v>0</v>
      </c>
      <c r="N322" s="150">
        <f t="shared" ref="N322:N327" si="55">ROUND((J322*$I$4),0)</f>
        <v>64</v>
      </c>
      <c r="O322" s="106">
        <v>0</v>
      </c>
      <c r="P322" s="150">
        <v>0</v>
      </c>
      <c r="Q322" s="153"/>
      <c r="R322" s="111">
        <v>0</v>
      </c>
      <c r="S322" s="111">
        <v>0</v>
      </c>
      <c r="T322" s="150">
        <v>0</v>
      </c>
      <c r="U322" s="150">
        <f t="shared" ref="U322:U327" si="56">SUM(K322:P322,T322)</f>
        <v>64</v>
      </c>
      <c r="V322" s="150">
        <f t="shared" ref="V322:V327" si="57">SUM(U322,J322)</f>
        <v>904</v>
      </c>
    </row>
    <row r="323" spans="1:22" x14ac:dyDescent="0.2">
      <c r="C323" s="259" t="s">
        <v>710</v>
      </c>
      <c r="G323" s="148"/>
      <c r="H323" s="279">
        <v>80</v>
      </c>
      <c r="I323" s="152">
        <f t="shared" si="53"/>
        <v>960</v>
      </c>
      <c r="J323" s="106">
        <f t="shared" si="54"/>
        <v>960</v>
      </c>
      <c r="K323" s="149"/>
      <c r="L323" s="150">
        <v>0</v>
      </c>
      <c r="M323" s="106">
        <v>0</v>
      </c>
      <c r="N323" s="150">
        <f t="shared" si="55"/>
        <v>73</v>
      </c>
      <c r="O323" s="106">
        <v>0</v>
      </c>
      <c r="P323" s="150">
        <v>0</v>
      </c>
      <c r="Q323" s="153"/>
      <c r="R323" s="111">
        <v>0</v>
      </c>
      <c r="S323" s="111">
        <v>0</v>
      </c>
      <c r="T323" s="150">
        <v>0</v>
      </c>
      <c r="U323" s="150">
        <f t="shared" si="56"/>
        <v>73</v>
      </c>
      <c r="V323" s="150">
        <f t="shared" si="57"/>
        <v>1033</v>
      </c>
    </row>
    <row r="324" spans="1:22" s="285" customFormat="1" x14ac:dyDescent="0.2">
      <c r="C324" s="286" t="s">
        <v>778</v>
      </c>
      <c r="F324" s="285" t="s">
        <v>645</v>
      </c>
      <c r="G324" s="289"/>
      <c r="H324" s="279">
        <v>80</v>
      </c>
      <c r="I324" s="292">
        <f t="shared" si="53"/>
        <v>960</v>
      </c>
      <c r="J324" s="287">
        <f t="shared" si="54"/>
        <v>960</v>
      </c>
      <c r="K324" s="290"/>
      <c r="L324" s="291"/>
      <c r="M324" s="287"/>
      <c r="N324" s="291">
        <f t="shared" si="55"/>
        <v>73</v>
      </c>
      <c r="O324" s="287"/>
      <c r="P324" s="291"/>
      <c r="Q324" s="293"/>
      <c r="R324" s="288"/>
      <c r="S324" s="288"/>
      <c r="T324" s="291"/>
      <c r="U324" s="291">
        <f t="shared" si="56"/>
        <v>73</v>
      </c>
      <c r="V324" s="291">
        <f t="shared" si="57"/>
        <v>1033</v>
      </c>
    </row>
    <row r="325" spans="1:22" x14ac:dyDescent="0.2">
      <c r="C325" s="259" t="s">
        <v>711</v>
      </c>
      <c r="G325" s="148"/>
      <c r="H325" s="279">
        <v>80</v>
      </c>
      <c r="I325" s="152">
        <f t="shared" si="53"/>
        <v>960</v>
      </c>
      <c r="J325" s="106">
        <f t="shared" si="54"/>
        <v>960</v>
      </c>
      <c r="K325" s="149"/>
      <c r="L325" s="150">
        <v>0</v>
      </c>
      <c r="M325" s="106">
        <v>0</v>
      </c>
      <c r="N325" s="150">
        <f t="shared" si="55"/>
        <v>73</v>
      </c>
      <c r="O325" s="106">
        <v>0</v>
      </c>
      <c r="P325" s="150">
        <v>0</v>
      </c>
      <c r="Q325" s="153"/>
      <c r="R325" s="111">
        <v>0</v>
      </c>
      <c r="S325" s="111">
        <v>0</v>
      </c>
      <c r="T325" s="150">
        <v>0</v>
      </c>
      <c r="U325" s="150">
        <f t="shared" si="56"/>
        <v>73</v>
      </c>
      <c r="V325" s="150">
        <f t="shared" si="57"/>
        <v>1033</v>
      </c>
    </row>
    <row r="326" spans="1:22" x14ac:dyDescent="0.2">
      <c r="C326" s="259" t="s">
        <v>712</v>
      </c>
      <c r="G326" s="148"/>
      <c r="H326" s="279">
        <v>80</v>
      </c>
      <c r="I326" s="152">
        <f t="shared" si="53"/>
        <v>960</v>
      </c>
      <c r="J326" s="106">
        <f t="shared" si="54"/>
        <v>960</v>
      </c>
      <c r="K326" s="149"/>
      <c r="L326" s="150">
        <v>0</v>
      </c>
      <c r="M326" s="106">
        <v>0</v>
      </c>
      <c r="N326" s="150">
        <f t="shared" si="55"/>
        <v>73</v>
      </c>
      <c r="O326" s="106">
        <v>0</v>
      </c>
      <c r="P326" s="150">
        <v>0</v>
      </c>
      <c r="Q326" s="153"/>
      <c r="R326" s="111">
        <v>0</v>
      </c>
      <c r="S326" s="111">
        <v>0</v>
      </c>
      <c r="T326" s="150">
        <v>0</v>
      </c>
      <c r="U326" s="150">
        <f t="shared" si="56"/>
        <v>73</v>
      </c>
      <c r="V326" s="150">
        <f t="shared" si="57"/>
        <v>1033</v>
      </c>
    </row>
    <row r="327" spans="1:22" x14ac:dyDescent="0.2">
      <c r="C327" s="259" t="s">
        <v>713</v>
      </c>
      <c r="G327" s="148"/>
      <c r="H327" s="279">
        <v>80</v>
      </c>
      <c r="I327" s="152">
        <f t="shared" si="53"/>
        <v>960</v>
      </c>
      <c r="J327" s="106">
        <f t="shared" si="54"/>
        <v>960</v>
      </c>
      <c r="K327" s="149"/>
      <c r="L327" s="150">
        <v>0</v>
      </c>
      <c r="M327" s="106">
        <v>0</v>
      </c>
      <c r="N327" s="150">
        <f t="shared" si="55"/>
        <v>73</v>
      </c>
      <c r="O327" s="106">
        <v>0</v>
      </c>
      <c r="P327" s="150">
        <v>0</v>
      </c>
      <c r="Q327" s="153"/>
      <c r="R327" s="111">
        <v>0</v>
      </c>
      <c r="S327" s="111">
        <v>0</v>
      </c>
      <c r="T327" s="150">
        <v>0</v>
      </c>
      <c r="U327" s="150">
        <f t="shared" si="56"/>
        <v>73</v>
      </c>
      <c r="V327" s="150">
        <f t="shared" si="57"/>
        <v>1033</v>
      </c>
    </row>
    <row r="328" spans="1:22" x14ac:dyDescent="0.2">
      <c r="A328" s="113"/>
      <c r="B328" s="113"/>
      <c r="C328" s="253"/>
      <c r="D328" s="113"/>
      <c r="E328" s="113"/>
      <c r="F328" s="113"/>
      <c r="G328" s="113"/>
      <c r="H328" s="314"/>
      <c r="I328" s="258"/>
      <c r="J328" s="283">
        <f>SUBTOTAL(9,J322:J327)</f>
        <v>5640</v>
      </c>
      <c r="K328" s="155"/>
      <c r="L328" s="284">
        <f>SUBTOTAL(9,L323:L327)</f>
        <v>0</v>
      </c>
      <c r="M328" s="283">
        <f>SUBTOTAL(9,M323:M327)</f>
        <v>0</v>
      </c>
      <c r="N328" s="284">
        <f>SUBTOTAL(9,N322:N327)</f>
        <v>429</v>
      </c>
      <c r="O328" s="283">
        <f>SUBTOTAL(9,O323:O327)</f>
        <v>0</v>
      </c>
      <c r="P328" s="284">
        <f>SUBTOTAL(9,P323:P327)</f>
        <v>0</v>
      </c>
      <c r="Q328" s="156"/>
      <c r="R328" s="156">
        <f>SUBTOTAL(9,R323:R327)</f>
        <v>0</v>
      </c>
      <c r="S328" s="156">
        <f>SUBTOTAL(9,S323:S327)</f>
        <v>0</v>
      </c>
      <c r="T328" s="284">
        <f>SUBTOTAL(9,T323:T327)</f>
        <v>0</v>
      </c>
      <c r="U328" s="284">
        <f>SUBTOTAL(9,U322:U327)</f>
        <v>429</v>
      </c>
      <c r="V328" s="284">
        <f>SUBTOTAL(9,V322:V327)</f>
        <v>6069</v>
      </c>
    </row>
    <row r="329" spans="1:22" x14ac:dyDescent="0.2">
      <c r="H329" s="105" t="s">
        <v>645</v>
      </c>
      <c r="I329" s="152"/>
      <c r="J329" s="106"/>
      <c r="K329" s="149"/>
      <c r="L329" s="150"/>
      <c r="M329" s="106"/>
      <c r="N329" s="150"/>
      <c r="O329" s="150"/>
      <c r="P329" s="150"/>
      <c r="Q329" s="153"/>
      <c r="R329" s="111"/>
      <c r="S329" s="111"/>
      <c r="T329" s="150"/>
      <c r="U329" s="150"/>
      <c r="V329" s="150"/>
    </row>
    <row r="330" spans="1:22" x14ac:dyDescent="0.2">
      <c r="A330" s="158" t="s">
        <v>132</v>
      </c>
      <c r="B330" s="159"/>
      <c r="C330" s="159"/>
      <c r="D330" s="159"/>
      <c r="E330" s="159"/>
      <c r="F330" s="159"/>
      <c r="G330" s="159"/>
      <c r="H330" s="159"/>
      <c r="I330" s="159"/>
      <c r="J330" s="265">
        <f>SUM(J315,J320,J328)</f>
        <v>3225791</v>
      </c>
      <c r="K330" s="155"/>
      <c r="L330" s="284">
        <f>SUBTOTAL(9,L16:L329)</f>
        <v>600562</v>
      </c>
      <c r="M330" s="283">
        <f>SUBTOTAL(9,M16:M329)</f>
        <v>18395</v>
      </c>
      <c r="N330" s="265">
        <f>SUM(N315,N320,N328)</f>
        <v>246774</v>
      </c>
      <c r="O330" s="283">
        <f>SUBTOTAL(9,O16:O329)</f>
        <v>72273</v>
      </c>
      <c r="P330" s="283">
        <f>SUBTOTAL(9,P16:P329)</f>
        <v>27301</v>
      </c>
      <c r="Q330" s="283"/>
      <c r="R330" s="283">
        <f>SUBTOTAL(9,R16:R329)</f>
        <v>392374</v>
      </c>
      <c r="S330" s="283">
        <f>SUBTOTAL(9,S16:S329)</f>
        <v>29937</v>
      </c>
      <c r="T330" s="283">
        <f>SUBTOTAL(9,T16:T329)</f>
        <v>422311</v>
      </c>
      <c r="U330" s="265">
        <f>SUM(U315,U320,U328)</f>
        <v>1387616</v>
      </c>
      <c r="V330" s="265">
        <f>SUM(V315,V320,V328)</f>
        <v>4613407</v>
      </c>
    </row>
    <row r="331" spans="1:22" x14ac:dyDescent="0.2">
      <c r="J331" s="313"/>
    </row>
    <row r="332" spans="1:22" x14ac:dyDescent="0.2">
      <c r="J332" s="312"/>
      <c r="M332" s="285" t="s">
        <v>645</v>
      </c>
    </row>
    <row r="382" spans="2:9" x14ac:dyDescent="0.2">
      <c r="B382" s="254"/>
      <c r="C382" s="251"/>
      <c r="D382" s="251"/>
      <c r="E382" s="251"/>
      <c r="F382" s="251"/>
      <c r="G382" s="251"/>
      <c r="H382" s="252"/>
      <c r="I382" s="251"/>
    </row>
    <row r="383" spans="2:9" x14ac:dyDescent="0.2">
      <c r="B383" s="251"/>
      <c r="C383" s="255"/>
      <c r="D383" s="251"/>
      <c r="E383" s="251"/>
      <c r="F383" s="251"/>
      <c r="G383" s="257"/>
      <c r="H383" s="252"/>
      <c r="I383" s="256"/>
    </row>
    <row r="384" spans="2:9" x14ac:dyDescent="0.2">
      <c r="B384" s="251"/>
      <c r="C384" s="255"/>
      <c r="D384" s="251"/>
      <c r="E384" s="251"/>
      <c r="F384" s="251"/>
      <c r="G384" s="257"/>
      <c r="H384" s="252"/>
      <c r="I384" s="256"/>
    </row>
    <row r="385" spans="2:9" x14ac:dyDescent="0.2">
      <c r="B385" s="251"/>
      <c r="C385" s="255"/>
      <c r="D385" s="251"/>
      <c r="E385" s="251"/>
      <c r="F385" s="251"/>
      <c r="G385" s="257"/>
      <c r="H385" s="252"/>
      <c r="I385" s="256"/>
    </row>
    <row r="386" spans="2:9" x14ac:dyDescent="0.2">
      <c r="B386" s="251"/>
      <c r="C386" s="255"/>
      <c r="D386" s="251"/>
      <c r="E386" s="251"/>
      <c r="F386" s="251"/>
      <c r="G386" s="257"/>
      <c r="H386" s="252"/>
      <c r="I386" s="256"/>
    </row>
    <row r="387" spans="2:9" x14ac:dyDescent="0.2">
      <c r="B387" s="251"/>
      <c r="C387" s="255"/>
      <c r="D387" s="251"/>
      <c r="E387" s="251"/>
      <c r="F387" s="251"/>
      <c r="G387" s="257"/>
      <c r="H387" s="252"/>
      <c r="I387" s="256"/>
    </row>
    <row r="388" spans="2:9" x14ac:dyDescent="0.2">
      <c r="H388" s="252"/>
    </row>
    <row r="389" spans="2:9" x14ac:dyDescent="0.2">
      <c r="H389" s="252"/>
    </row>
    <row r="390" spans="2:9" x14ac:dyDescent="0.2">
      <c r="H390" s="252"/>
    </row>
    <row r="391" spans="2:9" x14ac:dyDescent="0.2">
      <c r="H391" s="252"/>
    </row>
    <row r="392" spans="2:9" x14ac:dyDescent="0.2">
      <c r="H392" s="252"/>
    </row>
    <row r="393" spans="2:9" x14ac:dyDescent="0.2">
      <c r="H393" s="252"/>
    </row>
    <row r="394" spans="2:9" x14ac:dyDescent="0.2">
      <c r="H394" s="252"/>
    </row>
    <row r="395" spans="2:9" x14ac:dyDescent="0.2">
      <c r="H395" s="252"/>
    </row>
    <row r="396" spans="2:9" x14ac:dyDescent="0.2">
      <c r="H396" s="252"/>
    </row>
    <row r="397" spans="2:9" x14ac:dyDescent="0.2">
      <c r="H397" s="252"/>
    </row>
    <row r="398" spans="2:9" x14ac:dyDescent="0.2">
      <c r="H398" s="252"/>
    </row>
    <row r="399" spans="2:9" x14ac:dyDescent="0.2">
      <c r="H399" s="252"/>
    </row>
    <row r="400" spans="2:9" x14ac:dyDescent="0.2">
      <c r="H400" s="252"/>
    </row>
    <row r="401" spans="8:8" x14ac:dyDescent="0.2">
      <c r="H401" s="252"/>
    </row>
    <row r="402" spans="8:8" x14ac:dyDescent="0.2">
      <c r="H402" s="252"/>
    </row>
    <row r="403" spans="8:8" x14ac:dyDescent="0.2">
      <c r="H403" s="252"/>
    </row>
    <row r="404" spans="8:8" x14ac:dyDescent="0.2">
      <c r="H404" s="252"/>
    </row>
  </sheetData>
  <pageMargins left="0.25" right="0.25" top="0.5" bottom="0.5" header="0.5" footer="0.17"/>
  <pageSetup paperSize="17" scale="9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zoomScale="70" zoomScaleNormal="70" workbookViewId="0">
      <selection activeCell="A16" sqref="A16:XFD25"/>
    </sheetView>
  </sheetViews>
  <sheetFormatPr defaultRowHeight="12.75" x14ac:dyDescent="0.2"/>
  <cols>
    <col min="1" max="1" width="7.6640625" style="160" customWidth="1"/>
    <col min="2" max="2" width="24.83203125" style="160" customWidth="1"/>
    <col min="3" max="3" width="32.5" style="160" customWidth="1"/>
    <col min="4" max="4" width="8.6640625" style="160" bestFit="1" customWidth="1"/>
    <col min="5" max="5" width="8.83203125" style="160" bestFit="1" customWidth="1"/>
    <col min="6" max="7" width="8.33203125" style="160" customWidth="1"/>
    <col min="8" max="8" width="8.6640625" style="160" bestFit="1" customWidth="1"/>
    <col min="9" max="10" width="11.6640625" style="160" customWidth="1"/>
    <col min="11" max="11" width="3.83203125" style="168" customWidth="1"/>
    <col min="12" max="12" width="9.33203125" style="160"/>
    <col min="13" max="13" width="8.83203125" style="160" bestFit="1" customWidth="1"/>
    <col min="14" max="14" width="11.33203125" style="160" bestFit="1" customWidth="1"/>
    <col min="15" max="15" width="9.33203125" style="160"/>
    <col min="16" max="16" width="11.1640625" style="160" customWidth="1"/>
    <col min="17" max="17" width="3.83203125" style="160" customWidth="1"/>
    <col min="18" max="18" width="9.33203125" style="160"/>
    <col min="19" max="19" width="8.83203125" style="160" bestFit="1" customWidth="1"/>
    <col min="20" max="20" width="10.6640625" style="160" customWidth="1"/>
    <col min="21" max="22" width="10.5" style="161" bestFit="1" customWidth="1"/>
    <col min="23" max="23" width="10.5" style="160" bestFit="1" customWidth="1"/>
    <col min="24" max="24" width="10.5" style="160" customWidth="1"/>
    <col min="25" max="16384" width="9.33203125" style="160"/>
  </cols>
  <sheetData>
    <row r="1" spans="1:24" x14ac:dyDescent="0.2">
      <c r="A1" s="40"/>
      <c r="B1" s="41" t="s">
        <v>74</v>
      </c>
      <c r="C1" s="42"/>
      <c r="D1" s="43"/>
      <c r="E1" s="44"/>
      <c r="F1" s="40"/>
      <c r="G1" s="45"/>
      <c r="H1" s="46" t="s">
        <v>75</v>
      </c>
      <c r="I1" s="47" t="s">
        <v>133</v>
      </c>
      <c r="J1" s="40"/>
      <c r="K1" s="48"/>
      <c r="L1" s="49" t="s">
        <v>159</v>
      </c>
      <c r="M1" s="49"/>
      <c r="N1" s="50"/>
      <c r="O1" s="49" t="s">
        <v>160</v>
      </c>
      <c r="P1" s="51"/>
      <c r="X1" s="162"/>
    </row>
    <row r="2" spans="1:24" x14ac:dyDescent="0.2">
      <c r="A2" s="40"/>
      <c r="B2" s="54" t="s">
        <v>76</v>
      </c>
      <c r="C2" s="54" t="s">
        <v>77</v>
      </c>
      <c r="D2" s="55" t="s">
        <v>78</v>
      </c>
      <c r="E2" s="56">
        <f>+'Personnel Costs'!E2</f>
        <v>0.1988</v>
      </c>
      <c r="F2" s="40"/>
      <c r="G2" s="57"/>
      <c r="H2" s="58" t="s">
        <v>79</v>
      </c>
      <c r="I2" s="59">
        <v>0</v>
      </c>
      <c r="J2" s="40"/>
      <c r="K2" s="60"/>
      <c r="L2" s="61" t="s">
        <v>80</v>
      </c>
      <c r="M2" s="61" t="s">
        <v>81</v>
      </c>
      <c r="N2" s="62"/>
      <c r="O2" s="61" t="s">
        <v>80</v>
      </c>
      <c r="P2" s="63" t="s">
        <v>81</v>
      </c>
    </row>
    <row r="3" spans="1:24" x14ac:dyDescent="0.2">
      <c r="A3" s="64"/>
      <c r="B3" s="54" t="s">
        <v>76</v>
      </c>
      <c r="C3" s="54" t="s">
        <v>82</v>
      </c>
      <c r="D3" s="55" t="s">
        <v>83</v>
      </c>
      <c r="E3" s="56">
        <f>+'Personnel Costs'!E3</f>
        <v>0.1183</v>
      </c>
      <c r="F3" s="40"/>
      <c r="G3" s="57"/>
      <c r="H3" s="58" t="s">
        <v>84</v>
      </c>
      <c r="I3" s="59">
        <f>+'Personnel Costs'!I3</f>
        <v>6.0000000000000001E-3</v>
      </c>
      <c r="J3" s="40"/>
      <c r="K3" s="65">
        <v>1</v>
      </c>
      <c r="L3" s="66">
        <f t="shared" ref="L3:M6" si="0">O3*12</f>
        <v>4018.7999999999997</v>
      </c>
      <c r="M3" s="66">
        <f t="shared" si="0"/>
        <v>324</v>
      </c>
      <c r="N3" s="67" t="s">
        <v>85</v>
      </c>
      <c r="O3" s="68">
        <f>+'Personnel Costs'!O3</f>
        <v>334.9</v>
      </c>
      <c r="P3" s="69">
        <f>+'Personnel Costs'!P3</f>
        <v>27</v>
      </c>
    </row>
    <row r="4" spans="1:24" x14ac:dyDescent="0.2">
      <c r="A4" s="64"/>
      <c r="B4" s="54" t="s">
        <v>76</v>
      </c>
      <c r="C4" s="54" t="s">
        <v>86</v>
      </c>
      <c r="D4" s="55" t="s">
        <v>87</v>
      </c>
      <c r="E4" s="56">
        <f>+'Personnel Costs'!E4</f>
        <v>6.0499999999999998E-2</v>
      </c>
      <c r="F4" s="40"/>
      <c r="G4" s="57"/>
      <c r="H4" s="46" t="s">
        <v>88</v>
      </c>
      <c r="I4" s="59">
        <f>+'Personnel Costs'!I4</f>
        <v>7.6499999999999999E-2</v>
      </c>
      <c r="J4" s="40"/>
      <c r="K4" s="65">
        <v>2</v>
      </c>
      <c r="L4" s="66">
        <f t="shared" si="0"/>
        <v>9458.4000000000015</v>
      </c>
      <c r="M4" s="66">
        <f t="shared" si="0"/>
        <v>624.96</v>
      </c>
      <c r="N4" s="67" t="s">
        <v>89</v>
      </c>
      <c r="O4" s="70">
        <f>+'Personnel Costs'!O4</f>
        <v>788.2</v>
      </c>
      <c r="P4" s="71">
        <f>+'Personnel Costs'!P4</f>
        <v>52.08</v>
      </c>
    </row>
    <row r="5" spans="1:24" s="163" customFormat="1" x14ac:dyDescent="0.2">
      <c r="A5" s="72"/>
      <c r="B5" s="54" t="s">
        <v>76</v>
      </c>
      <c r="C5" s="73" t="s">
        <v>90</v>
      </c>
      <c r="D5" s="55" t="s">
        <v>91</v>
      </c>
      <c r="E5" s="56">
        <f>+'Personnel Costs'!E5</f>
        <v>0.34939999999999999</v>
      </c>
      <c r="F5" s="74"/>
      <c r="G5" s="57"/>
      <c r="H5" s="58" t="s">
        <v>92</v>
      </c>
      <c r="I5" s="59">
        <f>+'Personnel Costs'!I5</f>
        <v>2.2499999999999999E-2</v>
      </c>
      <c r="J5" s="74"/>
      <c r="K5" s="65">
        <v>3</v>
      </c>
      <c r="L5" s="66">
        <f t="shared" si="0"/>
        <v>11460</v>
      </c>
      <c r="M5" s="66">
        <f t="shared" si="0"/>
        <v>964.31999999999994</v>
      </c>
      <c r="N5" s="67" t="s">
        <v>93</v>
      </c>
      <c r="O5" s="70">
        <f>+'Personnel Costs'!O5</f>
        <v>955</v>
      </c>
      <c r="P5" s="71">
        <f>+'Personnel Costs'!P5</f>
        <v>80.36</v>
      </c>
    </row>
    <row r="6" spans="1:24" s="163" customFormat="1" x14ac:dyDescent="0.2">
      <c r="A6" s="72"/>
      <c r="B6" s="54" t="s">
        <v>76</v>
      </c>
      <c r="C6" s="54" t="s">
        <v>94</v>
      </c>
      <c r="D6" s="55" t="s">
        <v>95</v>
      </c>
      <c r="E6" s="56">
        <f>+'Personnel Costs'!E6</f>
        <v>0.2281</v>
      </c>
      <c r="F6" s="74"/>
      <c r="G6" s="57"/>
      <c r="H6" s="58" t="s">
        <v>96</v>
      </c>
      <c r="I6" s="59">
        <f>+'Personnel Costs'!I6</f>
        <v>8.5000000000000006E-3</v>
      </c>
      <c r="J6" s="74"/>
      <c r="K6" s="65">
        <v>4</v>
      </c>
      <c r="L6" s="66">
        <f t="shared" si="0"/>
        <v>4018.7999999999997</v>
      </c>
      <c r="M6" s="66">
        <f t="shared" si="0"/>
        <v>324</v>
      </c>
      <c r="N6" s="67" t="s">
        <v>97</v>
      </c>
      <c r="O6" s="68">
        <f>+'Personnel Costs'!O6</f>
        <v>334.9</v>
      </c>
      <c r="P6" s="69">
        <f>+'Personnel Costs'!P6</f>
        <v>27</v>
      </c>
    </row>
    <row r="7" spans="1:24" s="163" customFormat="1" x14ac:dyDescent="0.2">
      <c r="A7" s="72"/>
      <c r="B7" s="54" t="s">
        <v>76</v>
      </c>
      <c r="C7" s="54" t="s">
        <v>98</v>
      </c>
      <c r="D7" s="55" t="s">
        <v>99</v>
      </c>
      <c r="E7" s="56">
        <f>+'Personnel Costs'!E7</f>
        <v>0.12130000000000001</v>
      </c>
      <c r="F7" s="74"/>
      <c r="G7" s="75"/>
      <c r="H7" s="76"/>
      <c r="I7" s="74"/>
      <c r="J7" s="74"/>
      <c r="K7" s="77"/>
      <c r="L7" s="78">
        <f>+'Personnel Costs'!L7</f>
        <v>0</v>
      </c>
      <c r="M7" s="78">
        <f>+'Personnel Costs'!M7</f>
        <v>0</v>
      </c>
      <c r="N7" s="79"/>
      <c r="O7" s="79"/>
      <c r="P7" s="80"/>
    </row>
    <row r="8" spans="1:24" s="163" customFormat="1" x14ac:dyDescent="0.2">
      <c r="A8" s="72"/>
      <c r="B8" s="54" t="s">
        <v>76</v>
      </c>
      <c r="C8" s="73" t="s">
        <v>100</v>
      </c>
      <c r="D8" s="55" t="s">
        <v>101</v>
      </c>
      <c r="E8" s="56">
        <f>+'Personnel Costs'!E8</f>
        <v>0</v>
      </c>
      <c r="F8" s="74"/>
      <c r="G8" s="75"/>
      <c r="H8" s="76"/>
      <c r="I8" s="74"/>
      <c r="J8" s="74"/>
      <c r="K8" s="74"/>
      <c r="L8" s="74"/>
      <c r="M8" s="74"/>
      <c r="N8" s="74"/>
      <c r="O8" s="74"/>
      <c r="P8" s="81"/>
      <c r="Q8" s="76"/>
      <c r="R8" s="76"/>
      <c r="S8" s="76"/>
      <c r="T8" s="164"/>
      <c r="U8" s="164"/>
      <c r="V8" s="164"/>
    </row>
    <row r="9" spans="1:24" s="163" customFormat="1" x14ac:dyDescent="0.2">
      <c r="A9" s="72"/>
      <c r="B9" s="82" t="s">
        <v>102</v>
      </c>
      <c r="C9" s="82" t="s">
        <v>103</v>
      </c>
      <c r="D9" s="83" t="s">
        <v>104</v>
      </c>
      <c r="E9" s="84">
        <f>+'Personnel Costs'!E9</f>
        <v>0.18149999999999999</v>
      </c>
      <c r="F9" s="85"/>
      <c r="G9" s="75"/>
      <c r="H9" s="76"/>
      <c r="I9" s="74"/>
      <c r="J9" s="74"/>
      <c r="K9" s="74"/>
      <c r="L9" s="74"/>
      <c r="M9" s="74"/>
      <c r="N9" s="74"/>
      <c r="O9" s="74"/>
      <c r="P9" s="81"/>
      <c r="Q9" s="76"/>
      <c r="R9" s="76"/>
      <c r="S9" s="76"/>
      <c r="T9" s="164"/>
      <c r="U9" s="164"/>
      <c r="V9" s="164"/>
    </row>
    <row r="10" spans="1:24" s="163" customFormat="1" x14ac:dyDescent="0.2">
      <c r="A10" s="72"/>
      <c r="B10" s="82" t="s">
        <v>102</v>
      </c>
      <c r="C10" s="86" t="s">
        <v>105</v>
      </c>
      <c r="D10" s="83" t="s">
        <v>106</v>
      </c>
      <c r="E10" s="84">
        <f>+'Personnel Costs'!E10</f>
        <v>0.24229999999999999</v>
      </c>
      <c r="F10" s="85"/>
      <c r="G10" s="75"/>
      <c r="H10" s="76"/>
      <c r="I10" s="74"/>
      <c r="J10" s="74"/>
      <c r="K10" s="74"/>
      <c r="L10" s="74"/>
      <c r="M10" s="74"/>
      <c r="N10" s="74"/>
      <c r="O10" s="74"/>
      <c r="P10" s="81"/>
      <c r="Q10" s="76"/>
      <c r="R10" s="76"/>
      <c r="S10" s="76"/>
      <c r="T10" s="164"/>
      <c r="U10" s="164"/>
      <c r="V10" s="164"/>
    </row>
    <row r="11" spans="1:24" s="163" customFormat="1" x14ac:dyDescent="0.2">
      <c r="A11" s="165"/>
      <c r="C11" s="166"/>
      <c r="D11" s="167"/>
      <c r="E11" s="76"/>
      <c r="F11" s="85"/>
      <c r="G11" s="166"/>
      <c r="H11" s="76"/>
      <c r="P11" s="164"/>
      <c r="Q11" s="76"/>
      <c r="R11" s="76"/>
      <c r="S11" s="76"/>
      <c r="T11" s="164"/>
      <c r="U11" s="164"/>
      <c r="V11" s="164"/>
    </row>
    <row r="12" spans="1:24" ht="15.75" x14ac:dyDescent="0.25">
      <c r="A12" s="88" t="str">
        <f>+Summary!D6</f>
        <v>LIBRARY</v>
      </c>
    </row>
    <row r="13" spans="1:24" ht="15.75" x14ac:dyDescent="0.25">
      <c r="A13" s="169" t="s">
        <v>161</v>
      </c>
      <c r="O13" s="91"/>
    </row>
    <row r="14" spans="1:24" s="168" customFormat="1" x14ac:dyDescent="0.2">
      <c r="A14" s="170" t="s">
        <v>107</v>
      </c>
      <c r="B14" s="170" t="s">
        <v>107</v>
      </c>
      <c r="C14" s="170"/>
      <c r="D14" s="170" t="s">
        <v>108</v>
      </c>
      <c r="E14" s="170" t="s">
        <v>109</v>
      </c>
      <c r="F14" s="170"/>
      <c r="G14" s="170" t="s">
        <v>110</v>
      </c>
      <c r="H14" s="170" t="s">
        <v>4</v>
      </c>
      <c r="I14" s="170" t="s">
        <v>111</v>
      </c>
      <c r="J14" s="171" t="s">
        <v>0</v>
      </c>
      <c r="K14" s="170"/>
      <c r="L14" s="172"/>
      <c r="M14" s="171"/>
      <c r="N14" s="172"/>
      <c r="O14" s="172" t="s">
        <v>112</v>
      </c>
      <c r="P14" s="172" t="s">
        <v>113</v>
      </c>
      <c r="Q14" s="170"/>
      <c r="R14" s="170" t="s">
        <v>80</v>
      </c>
      <c r="S14" s="170" t="s">
        <v>81</v>
      </c>
      <c r="T14" s="172" t="s">
        <v>0</v>
      </c>
      <c r="U14" s="172" t="s">
        <v>0</v>
      </c>
      <c r="V14" s="172" t="s">
        <v>114</v>
      </c>
    </row>
    <row r="15" spans="1:24" s="168" customFormat="1" x14ac:dyDescent="0.2">
      <c r="A15" s="173" t="s">
        <v>115</v>
      </c>
      <c r="B15" s="173" t="s">
        <v>116</v>
      </c>
      <c r="C15" s="173" t="s">
        <v>117</v>
      </c>
      <c r="D15" s="173" t="s">
        <v>118</v>
      </c>
      <c r="E15" s="173" t="s">
        <v>119</v>
      </c>
      <c r="F15" s="173" t="s">
        <v>120</v>
      </c>
      <c r="G15" s="173" t="s">
        <v>121</v>
      </c>
      <c r="H15" s="173" t="s">
        <v>121</v>
      </c>
      <c r="I15" s="173" t="s">
        <v>122</v>
      </c>
      <c r="J15" s="174" t="s">
        <v>122</v>
      </c>
      <c r="K15" s="175" t="s">
        <v>123</v>
      </c>
      <c r="L15" s="176"/>
      <c r="M15" s="174" t="s">
        <v>124</v>
      </c>
      <c r="N15" s="177" t="s">
        <v>88</v>
      </c>
      <c r="O15" s="177" t="s">
        <v>125</v>
      </c>
      <c r="P15" s="177" t="s">
        <v>126</v>
      </c>
      <c r="Q15" s="173"/>
      <c r="R15" s="173" t="s">
        <v>127</v>
      </c>
      <c r="S15" s="173" t="s">
        <v>127</v>
      </c>
      <c r="T15" s="177" t="s">
        <v>127</v>
      </c>
      <c r="U15" s="177" t="s">
        <v>128</v>
      </c>
      <c r="V15" s="177" t="s">
        <v>0</v>
      </c>
    </row>
    <row r="16" spans="1:24" s="163" customFormat="1" hidden="1" x14ac:dyDescent="0.2">
      <c r="A16" s="178"/>
      <c r="B16"/>
      <c r="C16" t="s">
        <v>134</v>
      </c>
      <c r="D16" s="179"/>
      <c r="E16" s="180"/>
      <c r="F16" s="181"/>
      <c r="G16" s="182"/>
      <c r="H16" s="182">
        <f>ROUND((G16*(1+$I$2)),2)</f>
        <v>0</v>
      </c>
      <c r="I16" s="183">
        <f t="shared" ref="I16:I25" si="1">ROUND((H16*F16),0)</f>
        <v>0</v>
      </c>
      <c r="J16" s="184"/>
      <c r="K16" s="185"/>
      <c r="L16" s="186"/>
      <c r="M16" s="187"/>
      <c r="N16" s="186"/>
      <c r="O16" s="186"/>
      <c r="P16" s="186"/>
      <c r="Q16" s="188"/>
      <c r="R16" s="189"/>
      <c r="S16" s="189"/>
      <c r="T16" s="190"/>
      <c r="U16" s="186"/>
      <c r="V16" s="186"/>
    </row>
    <row r="17" spans="1:24" s="163" customFormat="1" hidden="1" x14ac:dyDescent="0.2">
      <c r="A17" s="191"/>
      <c r="B17" s="191"/>
      <c r="C17" s="191"/>
      <c r="D17" s="192"/>
      <c r="E17" s="193"/>
      <c r="F17" s="194"/>
      <c r="G17" s="195"/>
      <c r="H17" s="195">
        <f>ROUND(IF($I$1="YES",(G17*(1+$I$2)),(G16*(1+$I$2))),2)</f>
        <v>0</v>
      </c>
      <c r="I17" s="196">
        <f t="shared" si="1"/>
        <v>0</v>
      </c>
      <c r="J17" s="197">
        <f>SUM(I16:I17)</f>
        <v>0</v>
      </c>
      <c r="K17" s="198" t="s">
        <v>101</v>
      </c>
      <c r="L17" s="196">
        <f>ROUND((VLOOKUP(K17,$D$2:$E$10,2,FALSE))*J17,0)</f>
        <v>0</v>
      </c>
      <c r="M17" s="197">
        <f>ROUND(IF(K17="N",0,(J17*$I$3)),0)</f>
        <v>0</v>
      </c>
      <c r="N17" s="196">
        <f>ROUND((J17*$I$4),0)</f>
        <v>0</v>
      </c>
      <c r="O17" s="196">
        <f>ROUND(J17*$I$5,0)</f>
        <v>0</v>
      </c>
      <c r="P17" s="196">
        <f>ROUND(J17*$I$6,0)</f>
        <v>0</v>
      </c>
      <c r="Q17" s="199"/>
      <c r="R17" s="122">
        <f>ROUND(IF($Q17=0,0,((VLOOKUP($Q17,$K$3:$M$6,2,FALSE))*(1+$L$7))),0)</f>
        <v>0</v>
      </c>
      <c r="S17" s="122">
        <f>ROUND(IF($Q17=0,0,((VLOOKUP($Q17,$K$3:$M$6,3,FALSE))*(1+$M$7))),0)</f>
        <v>0</v>
      </c>
      <c r="T17" s="196">
        <f>SUM(R17,S17)</f>
        <v>0</v>
      </c>
      <c r="U17" s="196">
        <f>SUM(L17:P17,T17)</f>
        <v>0</v>
      </c>
      <c r="V17" s="196">
        <f>SUM(U17,J17)</f>
        <v>0</v>
      </c>
      <c r="W17" s="200"/>
      <c r="X17" s="200"/>
    </row>
    <row r="18" spans="1:24" hidden="1" x14ac:dyDescent="0.2">
      <c r="A18" s="178"/>
      <c r="B18"/>
      <c r="C18" t="s">
        <v>135</v>
      </c>
      <c r="D18" s="201"/>
      <c r="E18" s="202"/>
      <c r="F18" s="181"/>
      <c r="G18" s="182"/>
      <c r="H18" s="182">
        <f>ROUND((G18*(1+$I$2)),2)</f>
        <v>0</v>
      </c>
      <c r="I18" s="203">
        <f t="shared" si="1"/>
        <v>0</v>
      </c>
      <c r="J18" s="184"/>
      <c r="K18" s="204"/>
      <c r="L18" s="186"/>
      <c r="M18" s="187"/>
      <c r="N18" s="186"/>
      <c r="O18" s="186"/>
      <c r="P18" s="186"/>
      <c r="Q18" s="205"/>
      <c r="R18" s="189"/>
      <c r="S18" s="189"/>
      <c r="T18" s="190"/>
      <c r="U18" s="186"/>
      <c r="V18" s="186"/>
      <c r="W18" s="206"/>
      <c r="X18" s="161"/>
    </row>
    <row r="19" spans="1:24" hidden="1" x14ac:dyDescent="0.2">
      <c r="A19" s="191"/>
      <c r="B19" s="191"/>
      <c r="C19" s="191"/>
      <c r="D19" s="192"/>
      <c r="E19" s="193"/>
      <c r="F19" s="194"/>
      <c r="G19" s="195"/>
      <c r="H19" s="195">
        <f>ROUND(IF($I$1="YES",(G19*(1+$I$2)),(G18*(1+$I$2))),2)</f>
        <v>0</v>
      </c>
      <c r="I19" s="207">
        <f t="shared" si="1"/>
        <v>0</v>
      </c>
      <c r="J19" s="197">
        <f>SUM(I18:I19)</f>
        <v>0</v>
      </c>
      <c r="K19" s="198" t="s">
        <v>101</v>
      </c>
      <c r="L19" s="196">
        <f>ROUND((VLOOKUP(K19,$D$2:$E$10,2,FALSE))*J19,0)</f>
        <v>0</v>
      </c>
      <c r="M19" s="197">
        <f>ROUND(IF(K19="N",0,(J19*$I$3)),0)</f>
        <v>0</v>
      </c>
      <c r="N19" s="196">
        <f>ROUND((J19*$I$4),0)</f>
        <v>0</v>
      </c>
      <c r="O19" s="196">
        <f>ROUND(J19*$I$5,0)</f>
        <v>0</v>
      </c>
      <c r="P19" s="196">
        <f>ROUND(J19*$I$6,0)</f>
        <v>0</v>
      </c>
      <c r="Q19" s="199"/>
      <c r="R19" s="122">
        <f>ROUND(IF($Q19=0,0,((VLOOKUP($Q19,$K$3:$M$6,2,FALSE))*(1+$L$7))),0)</f>
        <v>0</v>
      </c>
      <c r="S19" s="122">
        <f>ROUND(IF($Q19=0,0,((VLOOKUP($Q19,$K$3:$M$6,3,FALSE))*(1+$M$7))),0)</f>
        <v>0</v>
      </c>
      <c r="T19" s="196">
        <f>SUM(R19,S19)</f>
        <v>0</v>
      </c>
      <c r="U19" s="196">
        <f>SUM(L19:P19,T19)</f>
        <v>0</v>
      </c>
      <c r="V19" s="196">
        <f>SUM(U19,J19)</f>
        <v>0</v>
      </c>
      <c r="W19" s="206"/>
      <c r="X19" s="200"/>
    </row>
    <row r="20" spans="1:24" hidden="1" x14ac:dyDescent="0.2">
      <c r="A20" s="178"/>
      <c r="B20"/>
      <c r="C20" t="s">
        <v>136</v>
      </c>
      <c r="D20" s="201"/>
      <c r="E20" s="180"/>
      <c r="F20" s="181"/>
      <c r="G20" s="182"/>
      <c r="H20" s="182">
        <f>ROUND((G20*(1+$I$2)),2)</f>
        <v>0</v>
      </c>
      <c r="I20" s="203">
        <f t="shared" si="1"/>
        <v>0</v>
      </c>
      <c r="J20" s="184"/>
      <c r="K20" s="204"/>
      <c r="L20" s="186"/>
      <c r="M20" s="187"/>
      <c r="N20" s="186"/>
      <c r="O20" s="186"/>
      <c r="P20" s="186"/>
      <c r="Q20" s="205"/>
      <c r="R20" s="189"/>
      <c r="S20" s="189"/>
      <c r="T20" s="190"/>
      <c r="U20" s="186"/>
      <c r="V20" s="186"/>
      <c r="W20" s="206"/>
      <c r="X20" s="161"/>
    </row>
    <row r="21" spans="1:24" hidden="1" x14ac:dyDescent="0.2">
      <c r="A21" s="191"/>
      <c r="B21" s="191"/>
      <c r="C21" s="191"/>
      <c r="D21" s="192"/>
      <c r="E21" s="193"/>
      <c r="F21" s="194"/>
      <c r="G21" s="195"/>
      <c r="H21" s="195">
        <f>ROUND(IF($I$1="YES",(G21*(1+$I$2)),(G20*(1+$I$2))),2)</f>
        <v>0</v>
      </c>
      <c r="I21" s="207">
        <f t="shared" si="1"/>
        <v>0</v>
      </c>
      <c r="J21" s="197">
        <f>SUM(I20:I21)</f>
        <v>0</v>
      </c>
      <c r="K21" s="198" t="s">
        <v>101</v>
      </c>
      <c r="L21" s="196">
        <f>ROUND((VLOOKUP(K21,$D$2:$E$10,2,FALSE))*J21,0)</f>
        <v>0</v>
      </c>
      <c r="M21" s="197">
        <f>ROUND(IF(K21="N",0,(J21*$I$3)),0)</f>
        <v>0</v>
      </c>
      <c r="N21" s="196">
        <f>ROUND((J21*$I$4),0)</f>
        <v>0</v>
      </c>
      <c r="O21" s="196">
        <f>ROUND(J21*$I$5,0)</f>
        <v>0</v>
      </c>
      <c r="P21" s="196">
        <f>ROUND(J21*$I$6,0)</f>
        <v>0</v>
      </c>
      <c r="Q21" s="199"/>
      <c r="R21" s="122">
        <f>ROUND(IF($Q21=0,0,((VLOOKUP($Q21,$K$3:$M$6,2,FALSE))*(1+$L$7))),0)</f>
        <v>0</v>
      </c>
      <c r="S21" s="122">
        <f>ROUND(IF($Q21=0,0,((VLOOKUP($Q21,$K$3:$M$6,3,FALSE))*(1+$M$7))),0)</f>
        <v>0</v>
      </c>
      <c r="T21" s="196">
        <f>SUM(R21,S21)</f>
        <v>0</v>
      </c>
      <c r="U21" s="196">
        <f>SUM(L21:P21,T21)</f>
        <v>0</v>
      </c>
      <c r="V21" s="196">
        <f>SUM(U21,J21)</f>
        <v>0</v>
      </c>
      <c r="W21" s="206"/>
      <c r="X21" s="200"/>
    </row>
    <row r="22" spans="1:24" hidden="1" x14ac:dyDescent="0.2">
      <c r="A22"/>
      <c r="B22"/>
      <c r="C22" t="s">
        <v>137</v>
      </c>
      <c r="D22" s="201"/>
      <c r="E22" s="180"/>
      <c r="F22" s="181"/>
      <c r="G22" s="182"/>
      <c r="H22" s="182">
        <f>ROUND((G22*(1+$I$2)),2)</f>
        <v>0</v>
      </c>
      <c r="I22" s="203">
        <f t="shared" si="1"/>
        <v>0</v>
      </c>
      <c r="J22" s="184"/>
      <c r="K22" s="204"/>
      <c r="L22" s="186"/>
      <c r="M22" s="187"/>
      <c r="N22" s="186"/>
      <c r="O22" s="186"/>
      <c r="P22" s="186"/>
      <c r="Q22" s="205"/>
      <c r="R22" s="189"/>
      <c r="S22" s="189"/>
      <c r="T22" s="190"/>
      <c r="U22" s="186"/>
      <c r="V22" s="186"/>
      <c r="W22" s="206"/>
      <c r="X22" s="161"/>
    </row>
    <row r="23" spans="1:24" hidden="1" x14ac:dyDescent="0.2">
      <c r="A23" s="191"/>
      <c r="B23" s="191"/>
      <c r="C23" s="191"/>
      <c r="D23" s="192"/>
      <c r="E23" s="193"/>
      <c r="F23" s="194"/>
      <c r="G23" s="195"/>
      <c r="H23" s="195">
        <f>ROUND(IF($I$1="YES",(G23*(1+$I$2)),(G22*(1+$I$2))),2)</f>
        <v>0</v>
      </c>
      <c r="I23" s="207">
        <f t="shared" si="1"/>
        <v>0</v>
      </c>
      <c r="J23" s="197">
        <f>SUM(I22:I23)</f>
        <v>0</v>
      </c>
      <c r="K23" s="198" t="s">
        <v>101</v>
      </c>
      <c r="L23" s="196">
        <f>ROUND((VLOOKUP(K23,$D$2:$E$10,2,FALSE))*J23,0)</f>
        <v>0</v>
      </c>
      <c r="M23" s="197">
        <f>ROUND(IF(K23="N",0,(J23*$I$3)),0)</f>
        <v>0</v>
      </c>
      <c r="N23" s="196">
        <f>ROUND((J23*$I$4),0)</f>
        <v>0</v>
      </c>
      <c r="O23" s="196">
        <f>ROUND(J23*$I$5,0)</f>
        <v>0</v>
      </c>
      <c r="P23" s="196">
        <f>ROUND(J23*$I$6,0)</f>
        <v>0</v>
      </c>
      <c r="Q23" s="199"/>
      <c r="R23" s="122">
        <f>ROUND(IF($Q23=0,0,((VLOOKUP($Q23,$K$3:$M$6,2,FALSE))*(1+$L$7))),0)</f>
        <v>0</v>
      </c>
      <c r="S23" s="122">
        <f>ROUND(IF($Q23=0,0,((VLOOKUP($Q23,$K$3:$M$6,3,FALSE))*(1+$M$7))),0)</f>
        <v>0</v>
      </c>
      <c r="T23" s="196">
        <f>SUM(R23,S23)</f>
        <v>0</v>
      </c>
      <c r="U23" s="196">
        <f>SUM(L23:P23,T23)</f>
        <v>0</v>
      </c>
      <c r="V23" s="196">
        <f>SUM(U23,J23)</f>
        <v>0</v>
      </c>
      <c r="W23" s="206"/>
      <c r="X23" s="200"/>
    </row>
    <row r="24" spans="1:24" hidden="1" x14ac:dyDescent="0.2">
      <c r="A24" s="178"/>
      <c r="B24"/>
      <c r="C24" t="s">
        <v>138</v>
      </c>
      <c r="D24" s="179"/>
      <c r="E24" s="180"/>
      <c r="F24" s="181"/>
      <c r="G24" s="182"/>
      <c r="H24" s="182">
        <f>ROUND((G24*(1+$I$2)),2)</f>
        <v>0</v>
      </c>
      <c r="I24" s="203">
        <f t="shared" si="1"/>
        <v>0</v>
      </c>
      <c r="J24" s="184"/>
      <c r="K24" s="204"/>
      <c r="L24" s="186"/>
      <c r="M24" s="187"/>
      <c r="N24" s="186"/>
      <c r="O24" s="186"/>
      <c r="P24" s="186"/>
      <c r="Q24" s="205"/>
      <c r="R24" s="189"/>
      <c r="S24" s="189"/>
      <c r="T24" s="190"/>
      <c r="U24" s="186"/>
      <c r="V24" s="186"/>
      <c r="W24" s="206"/>
      <c r="X24" s="161"/>
    </row>
    <row r="25" spans="1:24" hidden="1" x14ac:dyDescent="0.2">
      <c r="A25" s="191"/>
      <c r="B25" s="191"/>
      <c r="C25" s="191"/>
      <c r="D25" s="192"/>
      <c r="E25" s="193"/>
      <c r="F25" s="194"/>
      <c r="G25" s="195"/>
      <c r="H25" s="195">
        <f>ROUND(IF($I$1="YES",(G25*(1+$I$2)),(G24*(1+$I$2))),2)</f>
        <v>0</v>
      </c>
      <c r="I25" s="196">
        <f t="shared" si="1"/>
        <v>0</v>
      </c>
      <c r="J25" s="197">
        <f>SUM(I24:I25)</f>
        <v>0</v>
      </c>
      <c r="K25" s="264" t="s">
        <v>101</v>
      </c>
      <c r="L25" s="196">
        <f>ROUND((VLOOKUP(K25,$D$2:$E$10,2,FALSE))*J25,0)</f>
        <v>0</v>
      </c>
      <c r="M25" s="197">
        <f>ROUND(IF(K25="N",0,(J25*$I$3)),0)</f>
        <v>0</v>
      </c>
      <c r="N25" s="196">
        <f>ROUND((J25*$I$4),0)</f>
        <v>0</v>
      </c>
      <c r="O25" s="196">
        <f>ROUND(J25*$I$5,0)</f>
        <v>0</v>
      </c>
      <c r="P25" s="196">
        <f>ROUND(J25*$I$6,0)</f>
        <v>0</v>
      </c>
      <c r="Q25" s="268">
        <v>0</v>
      </c>
      <c r="R25" s="122">
        <f>ROUND(IF($Q25=0,0,((VLOOKUP($Q25,$K$3:$M$6,2,FALSE))*(1+$L$7))),0)</f>
        <v>0</v>
      </c>
      <c r="S25" s="122">
        <f>ROUND(IF($Q25=0,0,((VLOOKUP($Q25,$K$3:$M$6,3,FALSE))*(1+$M$7))),0)</f>
        <v>0</v>
      </c>
      <c r="T25" s="196">
        <f>SUM(R25,S25)</f>
        <v>0</v>
      </c>
      <c r="U25" s="196">
        <f>SUM(L25:P25,T25)</f>
        <v>0</v>
      </c>
      <c r="V25" s="196">
        <f>SUM(U25,J25)</f>
        <v>0</v>
      </c>
      <c r="W25" s="206"/>
      <c r="X25" s="200"/>
    </row>
    <row r="26" spans="1:24" x14ac:dyDescent="0.2">
      <c r="A26" s="260" t="s">
        <v>714</v>
      </c>
      <c r="H26" s="183"/>
      <c r="I26" s="152"/>
      <c r="J26" s="184"/>
      <c r="K26" s="262" t="s">
        <v>645</v>
      </c>
      <c r="L26" s="208"/>
      <c r="M26" s="184"/>
      <c r="N26" s="208"/>
      <c r="O26" s="208"/>
      <c r="P26" s="208"/>
      <c r="Q26" s="269"/>
      <c r="R26" s="206"/>
      <c r="S26" s="206"/>
      <c r="T26" s="208"/>
      <c r="U26" s="208"/>
      <c r="V26" s="208"/>
    </row>
    <row r="27" spans="1:24" s="259" customFormat="1" x14ac:dyDescent="0.2">
      <c r="A27" s="100" t="s">
        <v>536</v>
      </c>
      <c r="B27" s="100" t="s">
        <v>537</v>
      </c>
      <c r="C27" s="261" t="s">
        <v>538</v>
      </c>
      <c r="D27" s="101"/>
      <c r="E27" s="102" t="s">
        <v>540</v>
      </c>
      <c r="F27" s="103">
        <v>520</v>
      </c>
      <c r="G27" s="104">
        <v>0.39</v>
      </c>
      <c r="H27" s="104">
        <f>ROUND((G27*(1+$I$2)),2)</f>
        <v>0.39</v>
      </c>
      <c r="I27" s="150">
        <f>ROUND((H27*F27),0)</f>
        <v>203</v>
      </c>
      <c r="J27" s="150"/>
      <c r="K27" s="127"/>
      <c r="L27" s="108"/>
      <c r="M27" s="109"/>
      <c r="N27" s="108"/>
      <c r="O27" s="108"/>
      <c r="P27" s="108"/>
      <c r="Q27" s="270"/>
      <c r="R27" s="111"/>
      <c r="S27" s="111"/>
      <c r="T27" s="112"/>
      <c r="U27" s="108"/>
      <c r="V27" s="108"/>
      <c r="W27" s="111"/>
      <c r="X27" s="52"/>
    </row>
    <row r="28" spans="1:24" s="259" customFormat="1" x14ac:dyDescent="0.2">
      <c r="A28" s="253"/>
      <c r="B28" s="253" t="s">
        <v>715</v>
      </c>
      <c r="C28" s="253"/>
      <c r="D28" s="114" t="s">
        <v>539</v>
      </c>
      <c r="E28" s="115" t="s">
        <v>540</v>
      </c>
      <c r="F28" s="116">
        <v>520</v>
      </c>
      <c r="G28" s="117">
        <v>0.39</v>
      </c>
      <c r="H28" s="117">
        <f>ROUND(IF($I$1="YES",(G28*(1+$I$2)),(G27*(1+$I$2))),2)</f>
        <v>0.39</v>
      </c>
      <c r="I28" s="258">
        <f>ROUND((H28*F28),0)</f>
        <v>203</v>
      </c>
      <c r="J28" s="119">
        <f>SUM(I27:I28)</f>
        <v>406</v>
      </c>
      <c r="K28" s="120" t="s">
        <v>78</v>
      </c>
      <c r="L28" s="258">
        <f>ROUND((VLOOKUP(K28,$D$2:$E$10,2,FALSE))*J28,0)</f>
        <v>81</v>
      </c>
      <c r="M28" s="119">
        <f>ROUND(IF(K28="N",0,(J28*$I$3)),0)</f>
        <v>2</v>
      </c>
      <c r="N28" s="258">
        <f>ROUND((J28*$I$4),0)</f>
        <v>31</v>
      </c>
      <c r="O28" s="258">
        <f>ROUND(J28*$I$5,0)</f>
        <v>9</v>
      </c>
      <c r="P28" s="258">
        <f>ROUND(J28*$I$6,0)</f>
        <v>3</v>
      </c>
      <c r="Q28" s="271">
        <v>0</v>
      </c>
      <c r="R28" s="122">
        <f>ROUND(IF($Q28=0,0,((VLOOKUP($Q28,$K$3:$M$6,2,FALSE))*(1+$L$7))),0)</f>
        <v>0</v>
      </c>
      <c r="S28" s="122">
        <f>ROUND(IF($Q28=0,0,((VLOOKUP($Q28,$K$3:$M$6,3,FALSE))*(1+$M$7))),0)</f>
        <v>0</v>
      </c>
      <c r="T28" s="258">
        <f>SUM(R28,S28)</f>
        <v>0</v>
      </c>
      <c r="U28" s="258">
        <f>SUM(L28:P28,T28)</f>
        <v>126</v>
      </c>
      <c r="V28" s="258">
        <f>SUM(U28,J28)</f>
        <v>532</v>
      </c>
      <c r="W28" s="111"/>
      <c r="X28" s="123"/>
    </row>
    <row r="29" spans="1:24" x14ac:dyDescent="0.2">
      <c r="A29" s="209" t="s">
        <v>132</v>
      </c>
      <c r="B29" s="210"/>
      <c r="C29" s="210"/>
      <c r="D29" s="210"/>
      <c r="E29" s="210"/>
      <c r="F29" s="210"/>
      <c r="G29" s="210"/>
      <c r="H29" s="210"/>
      <c r="I29" s="210"/>
      <c r="J29" s="211">
        <f>SUM(J28,J25,J23,J21,J19,J17)</f>
        <v>406</v>
      </c>
      <c r="K29" s="267"/>
      <c r="L29" s="212">
        <f>SUM(L16:L28)</f>
        <v>81</v>
      </c>
      <c r="M29" s="211">
        <f>SUM(M28,M25,M23,M21,M19,M17)</f>
        <v>2</v>
      </c>
      <c r="N29" s="212">
        <f>SUM(N28,N25,N23,N21,N19,N17)</f>
        <v>31</v>
      </c>
      <c r="O29" s="211">
        <f>SUM(O28,O25,O23,O21,O19,O17)</f>
        <v>9</v>
      </c>
      <c r="P29" s="212">
        <f>SUM(P28,P25,P23,P21,P19,P17)</f>
        <v>3</v>
      </c>
      <c r="Q29" s="265"/>
      <c r="R29" s="266">
        <f>SUM(R28,R25,R23,R21,R19,R17)</f>
        <v>0</v>
      </c>
      <c r="S29" s="266">
        <f>SUM(S28,S25,S23,S21,S19,S17)</f>
        <v>0</v>
      </c>
      <c r="T29" s="266">
        <f>SUM(T28,T25,T23,T21,T19,T17)</f>
        <v>0</v>
      </c>
      <c r="U29" s="266">
        <f>SUM(U28,U25,U23,U21,U19,U17)</f>
        <v>126</v>
      </c>
      <c r="V29" s="266">
        <f>SUM(V28,V25,V23,V21,V19,V17)</f>
        <v>532</v>
      </c>
    </row>
    <row r="36" spans="17:17" x14ac:dyDescent="0.2">
      <c r="Q36" s="263" t="s">
        <v>645</v>
      </c>
    </row>
  </sheetData>
  <pageMargins left="0.25" right="0.25" top="0.5" bottom="0.5" header="0.5" footer="0.17"/>
  <pageSetup scale="62"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0"/>
  <sheetViews>
    <sheetView zoomScaleNormal="100" workbookViewId="0">
      <selection activeCell="B1" sqref="B1"/>
    </sheetView>
  </sheetViews>
  <sheetFormatPr defaultRowHeight="12.75" x14ac:dyDescent="0.2"/>
  <cols>
    <col min="1" max="1" width="9.83203125" style="215" customWidth="1"/>
    <col min="2" max="2" width="4" style="215" customWidth="1"/>
    <col min="3" max="4" width="16" style="215" customWidth="1"/>
    <col min="5" max="5" width="2" style="215" customWidth="1"/>
    <col min="6" max="6" width="16.33203125" style="215" customWidth="1"/>
    <col min="7" max="7" width="3.33203125" style="215" customWidth="1"/>
    <col min="8" max="8" width="54.33203125" style="215" customWidth="1"/>
    <col min="9" max="9" width="9.83203125" style="215" customWidth="1"/>
    <col min="10" max="16384" width="9.33203125" style="215"/>
  </cols>
  <sheetData>
    <row r="1" spans="2:9" ht="18.75" x14ac:dyDescent="0.3">
      <c r="B1" s="213">
        <f>+Summary!A2</f>
        <v>0</v>
      </c>
      <c r="C1" s="214"/>
      <c r="D1" s="214"/>
      <c r="E1" s="214"/>
      <c r="F1" s="214"/>
      <c r="G1" s="214"/>
      <c r="H1" s="214"/>
    </row>
    <row r="2" spans="2:9" ht="18" x14ac:dyDescent="0.25">
      <c r="B2" s="214" t="s">
        <v>139</v>
      </c>
      <c r="C2" s="214"/>
      <c r="D2" s="214"/>
      <c r="E2" s="214"/>
      <c r="F2" s="214"/>
      <c r="G2" s="214"/>
      <c r="H2" s="214"/>
    </row>
    <row r="4" spans="2:9" x14ac:dyDescent="0.2">
      <c r="G4" s="216" t="s">
        <v>140</v>
      </c>
    </row>
    <row r="6" spans="2:9" x14ac:dyDescent="0.2">
      <c r="B6" s="215" t="s">
        <v>141</v>
      </c>
      <c r="C6" s="217"/>
      <c r="H6" s="217"/>
    </row>
    <row r="7" spans="2:9" ht="18.75" x14ac:dyDescent="0.3">
      <c r="B7" s="217"/>
      <c r="C7" s="246" t="str">
        <f>+Summary!D6</f>
        <v>LIBRARY</v>
      </c>
      <c r="D7" s="219"/>
      <c r="F7" s="220"/>
      <c r="G7" s="217"/>
      <c r="H7" s="221"/>
      <c r="I7" s="217"/>
    </row>
    <row r="8" spans="2:9" x14ac:dyDescent="0.2">
      <c r="C8" s="217"/>
      <c r="G8" s="222"/>
      <c r="H8" s="217"/>
    </row>
    <row r="10" spans="2:9" x14ac:dyDescent="0.2">
      <c r="B10" s="215" t="s">
        <v>142</v>
      </c>
    </row>
    <row r="13" spans="2:9" x14ac:dyDescent="0.2">
      <c r="C13" s="223" t="s">
        <v>143</v>
      </c>
      <c r="D13" s="220"/>
      <c r="F13" s="215" t="s">
        <v>144</v>
      </c>
      <c r="H13" s="224" t="s">
        <v>145</v>
      </c>
    </row>
    <row r="14" spans="2:9" ht="15" x14ac:dyDescent="0.2">
      <c r="C14" s="225"/>
      <c r="D14" s="226"/>
      <c r="E14" s="227"/>
      <c r="F14" s="228"/>
      <c r="G14" s="227"/>
      <c r="H14" s="229"/>
    </row>
    <row r="15" spans="2:9" ht="15" x14ac:dyDescent="0.2">
      <c r="C15" s="230" t="s">
        <v>776</v>
      </c>
      <c r="D15" s="231"/>
      <c r="F15" s="232"/>
      <c r="H15" s="231"/>
    </row>
    <row r="16" spans="2:9" ht="15" x14ac:dyDescent="0.2">
      <c r="C16" s="233" t="s">
        <v>777</v>
      </c>
      <c r="D16" s="231"/>
      <c r="F16" s="232"/>
      <c r="H16" s="234"/>
    </row>
    <row r="17" spans="3:9" ht="15" x14ac:dyDescent="0.2">
      <c r="C17" s="230"/>
      <c r="D17" s="231"/>
      <c r="F17" s="232"/>
      <c r="H17" s="234"/>
    </row>
    <row r="18" spans="3:9" ht="15" x14ac:dyDescent="0.2">
      <c r="C18" s="233"/>
      <c r="D18" s="231"/>
      <c r="F18" s="232"/>
      <c r="H18" s="234"/>
    </row>
    <row r="19" spans="3:9" ht="15" x14ac:dyDescent="0.2">
      <c r="C19" s="233"/>
      <c r="D19" s="231"/>
      <c r="F19" s="232"/>
      <c r="G19" s="217"/>
      <c r="H19" s="234"/>
      <c r="I19" s="217"/>
    </row>
    <row r="20" spans="3:9" ht="15" x14ac:dyDescent="0.2">
      <c r="C20" s="233"/>
      <c r="D20" s="231"/>
      <c r="F20" s="232"/>
      <c r="H20" s="234"/>
    </row>
    <row r="21" spans="3:9" ht="15" x14ac:dyDescent="0.2">
      <c r="C21" s="233"/>
      <c r="D21" s="231"/>
      <c r="F21" s="232"/>
      <c r="H21" s="234"/>
    </row>
    <row r="22" spans="3:9" ht="15" x14ac:dyDescent="0.2">
      <c r="C22" s="233"/>
      <c r="D22" s="231"/>
      <c r="F22" s="232"/>
      <c r="H22" s="231"/>
    </row>
    <row r="23" spans="3:9" ht="15" x14ac:dyDescent="0.2">
      <c r="C23" s="230"/>
      <c r="D23" s="231"/>
      <c r="F23" s="232"/>
      <c r="H23" s="231"/>
    </row>
    <row r="24" spans="3:9" ht="15" x14ac:dyDescent="0.2">
      <c r="C24" s="233"/>
      <c r="D24" s="231"/>
      <c r="F24" s="232"/>
      <c r="H24" s="234"/>
    </row>
    <row r="25" spans="3:9" ht="15" x14ac:dyDescent="0.2">
      <c r="C25" s="233"/>
      <c r="D25" s="231"/>
      <c r="F25" s="232"/>
      <c r="H25" s="231"/>
    </row>
    <row r="26" spans="3:9" ht="15" x14ac:dyDescent="0.2">
      <c r="C26" s="230"/>
      <c r="D26" s="231"/>
      <c r="F26" s="232"/>
      <c r="H26" s="231"/>
    </row>
    <row r="27" spans="3:9" ht="15" x14ac:dyDescent="0.2">
      <c r="C27" s="233"/>
      <c r="D27" s="231"/>
      <c r="F27" s="232"/>
      <c r="H27" s="234"/>
    </row>
    <row r="28" spans="3:9" ht="15" x14ac:dyDescent="0.2">
      <c r="C28" s="233"/>
      <c r="D28" s="231"/>
      <c r="F28" s="232"/>
      <c r="H28" s="231"/>
    </row>
    <row r="29" spans="3:9" ht="15" x14ac:dyDescent="0.2">
      <c r="C29" s="233"/>
      <c r="D29" s="231"/>
      <c r="F29" s="232"/>
      <c r="H29" s="234"/>
    </row>
    <row r="30" spans="3:9" ht="15" x14ac:dyDescent="0.2">
      <c r="C30" s="233"/>
      <c r="D30" s="231"/>
      <c r="F30" s="232"/>
      <c r="H30" s="234"/>
    </row>
    <row r="31" spans="3:9" ht="15" x14ac:dyDescent="0.2">
      <c r="C31" s="233"/>
      <c r="D31" s="231"/>
      <c r="F31" s="232"/>
      <c r="H31" s="234"/>
    </row>
    <row r="32" spans="3:9" ht="15" x14ac:dyDescent="0.2">
      <c r="C32" s="233"/>
      <c r="D32" s="231"/>
      <c r="F32" s="232"/>
      <c r="H32" s="234"/>
    </row>
    <row r="33" spans="2:8" ht="15" x14ac:dyDescent="0.2">
      <c r="C33" s="230"/>
      <c r="D33" s="231"/>
      <c r="F33" s="232"/>
      <c r="H33" s="231"/>
    </row>
    <row r="34" spans="2:8" ht="15" x14ac:dyDescent="0.2">
      <c r="C34" s="230"/>
      <c r="D34" s="231"/>
      <c r="F34" s="232"/>
      <c r="H34" s="231"/>
    </row>
    <row r="35" spans="2:8" ht="15" x14ac:dyDescent="0.2">
      <c r="C35" s="230"/>
      <c r="D35" s="231"/>
      <c r="F35" s="232"/>
      <c r="H35" s="231"/>
    </row>
    <row r="36" spans="2:8" ht="15" x14ac:dyDescent="0.2">
      <c r="C36" s="230"/>
      <c r="D36" s="231"/>
      <c r="F36" s="232"/>
      <c r="H36" s="231"/>
    </row>
    <row r="37" spans="2:8" ht="15" x14ac:dyDescent="0.2">
      <c r="C37" s="230"/>
      <c r="D37" s="231"/>
      <c r="F37" s="232"/>
      <c r="H37" s="231"/>
    </row>
    <row r="38" spans="2:8" ht="15" x14ac:dyDescent="0.2">
      <c r="C38" s="230"/>
      <c r="D38" s="231"/>
      <c r="F38" s="232"/>
      <c r="H38" s="231"/>
    </row>
    <row r="39" spans="2:8" ht="15" x14ac:dyDescent="0.2">
      <c r="C39" s="230"/>
      <c r="D39" s="231"/>
      <c r="F39" s="232"/>
      <c r="H39" s="231"/>
    </row>
    <row r="40" spans="2:8" ht="15" x14ac:dyDescent="0.2">
      <c r="C40" s="230"/>
      <c r="D40" s="231"/>
      <c r="F40" s="232"/>
      <c r="H40" s="231"/>
    </row>
    <row r="41" spans="2:8" ht="15" x14ac:dyDescent="0.2">
      <c r="C41" s="230"/>
      <c r="D41" s="231"/>
      <c r="F41" s="232"/>
      <c r="H41" s="231"/>
    </row>
    <row r="42" spans="2:8" ht="15" x14ac:dyDescent="0.2">
      <c r="C42" s="230"/>
      <c r="D42" s="231"/>
      <c r="F42" s="232"/>
      <c r="H42" s="231"/>
    </row>
    <row r="43" spans="2:8" ht="15" x14ac:dyDescent="0.2">
      <c r="C43" s="230"/>
      <c r="D43" s="231"/>
      <c r="F43" s="232"/>
      <c r="H43" s="231"/>
    </row>
    <row r="44" spans="2:8" ht="15" x14ac:dyDescent="0.2">
      <c r="C44" s="230"/>
      <c r="D44" s="231"/>
      <c r="F44" s="232"/>
      <c r="H44" s="231"/>
    </row>
    <row r="45" spans="2:8" ht="15" x14ac:dyDescent="0.2">
      <c r="B45" s="231"/>
      <c r="D45" s="231"/>
      <c r="F45" s="235"/>
      <c r="H45" s="231"/>
    </row>
    <row r="46" spans="2:8" ht="15" x14ac:dyDescent="0.2">
      <c r="C46" s="236" t="s">
        <v>146</v>
      </c>
      <c r="D46" s="237"/>
      <c r="E46" s="238"/>
      <c r="F46" s="235">
        <f>SUM(F14:F45)+F170+F109</f>
        <v>0</v>
      </c>
      <c r="G46" s="239"/>
      <c r="H46" s="237"/>
    </row>
    <row r="49" spans="2:8" ht="15" x14ac:dyDescent="0.2">
      <c r="C49" s="240" t="s">
        <v>147</v>
      </c>
      <c r="D49" s="227"/>
      <c r="E49" s="227"/>
      <c r="F49" s="227"/>
      <c r="G49" s="227"/>
      <c r="H49" s="226"/>
    </row>
    <row r="50" spans="2:8" x14ac:dyDescent="0.2">
      <c r="C50" s="233"/>
      <c r="H50" s="231"/>
    </row>
    <row r="51" spans="2:8" x14ac:dyDescent="0.2">
      <c r="C51" s="233"/>
      <c r="H51" s="231"/>
    </row>
    <row r="52" spans="2:8" x14ac:dyDescent="0.2">
      <c r="C52" s="230"/>
      <c r="H52" s="231"/>
    </row>
    <row r="53" spans="2:8" x14ac:dyDescent="0.2">
      <c r="C53" s="233"/>
      <c r="H53" s="231"/>
    </row>
    <row r="54" spans="2:8" x14ac:dyDescent="0.2">
      <c r="C54" s="233"/>
      <c r="H54" s="231"/>
    </row>
    <row r="55" spans="2:8" x14ac:dyDescent="0.2">
      <c r="C55" s="230"/>
      <c r="H55" s="231"/>
    </row>
    <row r="56" spans="2:8" x14ac:dyDescent="0.2">
      <c r="C56" s="236"/>
      <c r="D56" s="239"/>
      <c r="E56" s="239"/>
      <c r="F56" s="239"/>
      <c r="G56" s="239"/>
      <c r="H56" s="237"/>
    </row>
    <row r="63" spans="2:8" ht="18" x14ac:dyDescent="0.25">
      <c r="B63" s="214"/>
      <c r="C63" s="241"/>
      <c r="D63" s="214"/>
      <c r="E63" s="214"/>
      <c r="F63" s="214"/>
      <c r="G63" s="214"/>
      <c r="H63" s="214"/>
    </row>
    <row r="64" spans="2:8" ht="18.75" x14ac:dyDescent="0.3">
      <c r="B64" s="213">
        <f>+B1</f>
        <v>0</v>
      </c>
      <c r="C64" s="214"/>
      <c r="D64" s="214"/>
      <c r="E64" s="214"/>
      <c r="F64" s="214"/>
      <c r="G64" s="214"/>
      <c r="H64" s="214"/>
    </row>
    <row r="65" spans="2:9" ht="18" x14ac:dyDescent="0.25">
      <c r="B65" s="214" t="s">
        <v>139</v>
      </c>
      <c r="C65" s="214"/>
      <c r="D65" s="214"/>
      <c r="E65" s="214"/>
      <c r="F65" s="214"/>
      <c r="G65" s="214"/>
      <c r="H65" s="214"/>
    </row>
    <row r="67" spans="2:9" x14ac:dyDescent="0.2">
      <c r="G67" s="216" t="s">
        <v>148</v>
      </c>
    </row>
    <row r="69" spans="2:9" x14ac:dyDescent="0.2">
      <c r="B69" s="215" t="s">
        <v>141</v>
      </c>
      <c r="C69" s="217"/>
      <c r="D69" s="217"/>
      <c r="F69" s="217"/>
      <c r="G69" s="217"/>
      <c r="H69" s="217"/>
      <c r="I69" s="217"/>
    </row>
    <row r="70" spans="2:9" ht="18.75" x14ac:dyDescent="0.3">
      <c r="B70" s="217"/>
      <c r="C70" s="218" t="str">
        <f>+C7</f>
        <v>LIBRARY</v>
      </c>
      <c r="D70" s="239"/>
      <c r="E70" s="217"/>
      <c r="F70" s="242"/>
      <c r="G70" s="221"/>
      <c r="H70" s="221"/>
      <c r="I70" s="243"/>
    </row>
    <row r="71" spans="2:9" x14ac:dyDescent="0.2">
      <c r="C71" s="217"/>
      <c r="D71" s="217"/>
      <c r="F71" s="217"/>
      <c r="G71" s="244"/>
      <c r="H71" s="217"/>
      <c r="I71" s="217"/>
    </row>
    <row r="73" spans="2:9" x14ac:dyDescent="0.2">
      <c r="B73" s="215" t="s">
        <v>142</v>
      </c>
    </row>
    <row r="76" spans="2:9" x14ac:dyDescent="0.2">
      <c r="C76" s="220" t="s">
        <v>149</v>
      </c>
      <c r="D76" s="220"/>
      <c r="F76" s="215" t="s">
        <v>144</v>
      </c>
      <c r="H76" s="224" t="s">
        <v>145</v>
      </c>
    </row>
    <row r="77" spans="2:9" ht="15" x14ac:dyDescent="0.2">
      <c r="C77" s="245"/>
      <c r="D77" s="226"/>
      <c r="E77" s="227"/>
      <c r="F77" s="228"/>
      <c r="G77" s="227"/>
      <c r="H77" s="226"/>
    </row>
    <row r="78" spans="2:9" ht="15" x14ac:dyDescent="0.2">
      <c r="C78" s="230"/>
      <c r="D78" s="231"/>
      <c r="F78" s="232"/>
      <c r="H78" s="231"/>
    </row>
    <row r="79" spans="2:9" ht="15" x14ac:dyDescent="0.2">
      <c r="C79" s="230"/>
      <c r="D79" s="231"/>
      <c r="F79" s="232"/>
      <c r="H79" s="231"/>
    </row>
    <row r="80" spans="2:9" ht="15" x14ac:dyDescent="0.2">
      <c r="C80" s="230"/>
      <c r="D80" s="231"/>
      <c r="F80" s="232"/>
      <c r="H80" s="231"/>
    </row>
    <row r="81" spans="3:8" ht="15" x14ac:dyDescent="0.2">
      <c r="C81" s="230"/>
      <c r="D81" s="231"/>
      <c r="F81" s="232"/>
      <c r="H81" s="231"/>
    </row>
    <row r="82" spans="3:8" ht="15" x14ac:dyDescent="0.2">
      <c r="C82" s="230"/>
      <c r="D82" s="231"/>
      <c r="F82" s="232"/>
      <c r="H82" s="231"/>
    </row>
    <row r="83" spans="3:8" ht="15" x14ac:dyDescent="0.2">
      <c r="C83" s="230"/>
      <c r="D83" s="231"/>
      <c r="F83" s="232"/>
      <c r="H83" s="231"/>
    </row>
    <row r="84" spans="3:8" ht="15" x14ac:dyDescent="0.2">
      <c r="C84" s="230"/>
      <c r="D84" s="231"/>
      <c r="F84" s="232"/>
      <c r="H84" s="231"/>
    </row>
    <row r="85" spans="3:8" ht="15" x14ac:dyDescent="0.2">
      <c r="C85" s="230"/>
      <c r="D85" s="231"/>
      <c r="F85" s="232"/>
      <c r="H85" s="231"/>
    </row>
    <row r="86" spans="3:8" ht="15" x14ac:dyDescent="0.2">
      <c r="C86" s="230"/>
      <c r="D86" s="231"/>
      <c r="F86" s="232"/>
      <c r="H86" s="231"/>
    </row>
    <row r="87" spans="3:8" ht="15" x14ac:dyDescent="0.2">
      <c r="C87" s="230"/>
      <c r="D87" s="231"/>
      <c r="F87" s="232"/>
      <c r="H87" s="231"/>
    </row>
    <row r="88" spans="3:8" ht="15" x14ac:dyDescent="0.2">
      <c r="C88" s="230"/>
      <c r="D88" s="231"/>
      <c r="F88" s="232"/>
      <c r="H88" s="231"/>
    </row>
    <row r="89" spans="3:8" ht="15" x14ac:dyDescent="0.2">
      <c r="C89" s="230"/>
      <c r="D89" s="231"/>
      <c r="F89" s="232"/>
      <c r="H89" s="231"/>
    </row>
    <row r="90" spans="3:8" ht="15" x14ac:dyDescent="0.2">
      <c r="C90" s="230"/>
      <c r="D90" s="231"/>
      <c r="F90" s="232"/>
      <c r="H90" s="231"/>
    </row>
    <row r="91" spans="3:8" ht="15" x14ac:dyDescent="0.2">
      <c r="C91" s="230"/>
      <c r="D91" s="231"/>
      <c r="F91" s="232"/>
      <c r="H91" s="231"/>
    </row>
    <row r="92" spans="3:8" ht="15" x14ac:dyDescent="0.2">
      <c r="C92" s="230"/>
      <c r="D92" s="231"/>
      <c r="F92" s="232"/>
      <c r="H92" s="231"/>
    </row>
    <row r="93" spans="3:8" ht="15" x14ac:dyDescent="0.2">
      <c r="C93" s="230"/>
      <c r="D93" s="231"/>
      <c r="F93" s="232"/>
      <c r="H93" s="231"/>
    </row>
    <row r="94" spans="3:8" ht="15" x14ac:dyDescent="0.2">
      <c r="C94" s="230"/>
      <c r="D94" s="231"/>
      <c r="F94" s="232"/>
      <c r="H94" s="231"/>
    </row>
    <row r="95" spans="3:8" ht="15" x14ac:dyDescent="0.2">
      <c r="C95" s="230"/>
      <c r="D95" s="231"/>
      <c r="F95" s="232"/>
      <c r="H95" s="231"/>
    </row>
    <row r="96" spans="3:8" ht="15" x14ac:dyDescent="0.2">
      <c r="C96" s="230"/>
      <c r="D96" s="231"/>
      <c r="F96" s="232"/>
      <c r="H96" s="231"/>
    </row>
    <row r="97" spans="2:8" ht="15" x14ac:dyDescent="0.2">
      <c r="C97" s="230"/>
      <c r="D97" s="231"/>
      <c r="F97" s="232"/>
      <c r="H97" s="231"/>
    </row>
    <row r="98" spans="2:8" ht="15" x14ac:dyDescent="0.2">
      <c r="C98" s="230"/>
      <c r="D98" s="231"/>
      <c r="F98" s="232"/>
      <c r="H98" s="231"/>
    </row>
    <row r="99" spans="2:8" ht="15" x14ac:dyDescent="0.2">
      <c r="C99" s="230"/>
      <c r="D99" s="231"/>
      <c r="F99" s="232"/>
      <c r="H99" s="231"/>
    </row>
    <row r="100" spans="2:8" ht="15" x14ac:dyDescent="0.2">
      <c r="C100" s="230"/>
      <c r="D100" s="231"/>
      <c r="F100" s="232"/>
      <c r="H100" s="231"/>
    </row>
    <row r="101" spans="2:8" ht="15" x14ac:dyDescent="0.2">
      <c r="C101" s="230"/>
      <c r="D101" s="231"/>
      <c r="F101" s="232"/>
      <c r="H101" s="231"/>
    </row>
    <row r="102" spans="2:8" ht="15" x14ac:dyDescent="0.2">
      <c r="C102" s="230"/>
      <c r="D102" s="231"/>
      <c r="F102" s="232"/>
      <c r="H102" s="231"/>
    </row>
    <row r="103" spans="2:8" ht="15" x14ac:dyDescent="0.2">
      <c r="C103" s="230"/>
      <c r="D103" s="231"/>
      <c r="F103" s="232"/>
      <c r="H103" s="231"/>
    </row>
    <row r="104" spans="2:8" ht="15" x14ac:dyDescent="0.2">
      <c r="C104" s="230"/>
      <c r="D104" s="231"/>
      <c r="F104" s="232"/>
      <c r="H104" s="231"/>
    </row>
    <row r="105" spans="2:8" ht="15" x14ac:dyDescent="0.2">
      <c r="C105" s="230"/>
      <c r="D105" s="231"/>
      <c r="F105" s="232"/>
      <c r="H105" s="231"/>
    </row>
    <row r="106" spans="2:8" ht="15" x14ac:dyDescent="0.2">
      <c r="C106" s="230"/>
      <c r="D106" s="231"/>
      <c r="F106" s="232"/>
      <c r="H106" s="231"/>
    </row>
    <row r="107" spans="2:8" ht="15" x14ac:dyDescent="0.2">
      <c r="C107" s="230"/>
      <c r="D107" s="231"/>
      <c r="F107" s="232"/>
      <c r="H107" s="231"/>
    </row>
    <row r="108" spans="2:8" ht="15" x14ac:dyDescent="0.2">
      <c r="B108" s="231"/>
      <c r="D108" s="231"/>
      <c r="F108" s="235"/>
      <c r="H108" s="231"/>
    </row>
    <row r="109" spans="2:8" ht="15" x14ac:dyDescent="0.2">
      <c r="C109" s="236" t="s">
        <v>150</v>
      </c>
      <c r="D109" s="237"/>
      <c r="E109" s="238"/>
      <c r="F109" s="235">
        <f>SUM(F77:F108)</f>
        <v>0</v>
      </c>
      <c r="G109" s="239"/>
      <c r="H109" s="237"/>
    </row>
    <row r="112" spans="2:8" ht="15" x14ac:dyDescent="0.2">
      <c r="C112" s="240" t="s">
        <v>147</v>
      </c>
      <c r="D112" s="227"/>
      <c r="E112" s="227"/>
      <c r="F112" s="227"/>
      <c r="G112" s="227"/>
      <c r="H112" s="226"/>
    </row>
    <row r="113" spans="2:8" x14ac:dyDescent="0.2">
      <c r="C113" s="230"/>
      <c r="H113" s="231"/>
    </row>
    <row r="114" spans="2:8" x14ac:dyDescent="0.2">
      <c r="C114" s="230"/>
      <c r="H114" s="231"/>
    </row>
    <row r="115" spans="2:8" x14ac:dyDescent="0.2">
      <c r="C115" s="230"/>
      <c r="H115" s="231"/>
    </row>
    <row r="116" spans="2:8" x14ac:dyDescent="0.2">
      <c r="C116" s="230"/>
      <c r="H116" s="231"/>
    </row>
    <row r="117" spans="2:8" x14ac:dyDescent="0.2">
      <c r="C117" s="230"/>
      <c r="H117" s="231"/>
    </row>
    <row r="118" spans="2:8" x14ac:dyDescent="0.2">
      <c r="C118" s="230"/>
      <c r="H118" s="231"/>
    </row>
    <row r="119" spans="2:8" x14ac:dyDescent="0.2">
      <c r="C119" s="236"/>
      <c r="D119" s="239"/>
      <c r="E119" s="239"/>
      <c r="F119" s="239"/>
      <c r="G119" s="239"/>
      <c r="H119" s="237"/>
    </row>
    <row r="124" spans="2:8" ht="18" x14ac:dyDescent="0.25">
      <c r="B124" s="214"/>
      <c r="C124" s="241"/>
      <c r="D124" s="214"/>
      <c r="E124" s="214"/>
      <c r="F124" s="214"/>
      <c r="G124" s="214"/>
      <c r="H124" s="214"/>
    </row>
    <row r="125" spans="2:8" ht="18.75" x14ac:dyDescent="0.3">
      <c r="B125" s="213">
        <f>+B1</f>
        <v>0</v>
      </c>
      <c r="C125" s="214"/>
      <c r="D125" s="214"/>
      <c r="E125" s="214"/>
      <c r="F125" s="214"/>
      <c r="G125" s="214"/>
      <c r="H125" s="214"/>
    </row>
    <row r="126" spans="2:8" ht="18" x14ac:dyDescent="0.25">
      <c r="B126" s="214" t="s">
        <v>139</v>
      </c>
      <c r="C126" s="214"/>
      <c r="D126" s="214"/>
      <c r="E126" s="214"/>
      <c r="F126" s="214"/>
      <c r="G126" s="214"/>
      <c r="H126" s="214"/>
    </row>
    <row r="128" spans="2:8" x14ac:dyDescent="0.2">
      <c r="G128" s="216" t="s">
        <v>151</v>
      </c>
    </row>
    <row r="130" spans="2:9" x14ac:dyDescent="0.2">
      <c r="B130" s="215" t="s">
        <v>141</v>
      </c>
      <c r="C130" s="217"/>
      <c r="F130" s="217"/>
      <c r="G130" s="217"/>
      <c r="H130" s="217"/>
      <c r="I130" s="217"/>
    </row>
    <row r="131" spans="2:9" ht="18.75" x14ac:dyDescent="0.3">
      <c r="B131" s="217"/>
      <c r="C131" s="218" t="str">
        <f>+C7</f>
        <v>LIBRARY</v>
      </c>
      <c r="D131" s="219"/>
      <c r="E131" s="217"/>
      <c r="F131" s="242"/>
      <c r="G131" s="242"/>
      <c r="H131" s="221"/>
      <c r="I131" s="243"/>
    </row>
    <row r="132" spans="2:9" x14ac:dyDescent="0.2">
      <c r="C132" s="217"/>
      <c r="F132" s="217"/>
      <c r="G132" s="244"/>
      <c r="H132" s="217"/>
      <c r="I132" s="217"/>
    </row>
    <row r="134" spans="2:9" x14ac:dyDescent="0.2">
      <c r="B134" s="215" t="s">
        <v>142</v>
      </c>
    </row>
    <row r="137" spans="2:9" x14ac:dyDescent="0.2">
      <c r="C137" s="220" t="s">
        <v>149</v>
      </c>
      <c r="D137" s="220"/>
      <c r="F137" s="215" t="s">
        <v>144</v>
      </c>
      <c r="H137" s="224" t="s">
        <v>145</v>
      </c>
    </row>
    <row r="138" spans="2:9" ht="15" x14ac:dyDescent="0.2">
      <c r="C138" s="245"/>
      <c r="D138" s="226"/>
      <c r="E138" s="227"/>
      <c r="F138" s="228"/>
      <c r="G138" s="227"/>
      <c r="H138" s="226"/>
    </row>
    <row r="139" spans="2:9" ht="15" x14ac:dyDescent="0.2">
      <c r="C139" s="230"/>
      <c r="D139" s="231"/>
      <c r="F139" s="232"/>
      <c r="H139" s="231"/>
    </row>
    <row r="140" spans="2:9" ht="15" x14ac:dyDescent="0.2">
      <c r="C140" s="230"/>
      <c r="D140" s="231"/>
      <c r="F140" s="232"/>
      <c r="H140" s="231"/>
    </row>
    <row r="141" spans="2:9" ht="15" x14ac:dyDescent="0.2">
      <c r="C141" s="230"/>
      <c r="D141" s="231"/>
      <c r="F141" s="232"/>
      <c r="H141" s="231"/>
    </row>
    <row r="142" spans="2:9" ht="15" x14ac:dyDescent="0.2">
      <c r="C142" s="230"/>
      <c r="D142" s="231"/>
      <c r="F142" s="232"/>
      <c r="H142" s="231"/>
    </row>
    <row r="143" spans="2:9" ht="15" x14ac:dyDescent="0.2">
      <c r="C143" s="230"/>
      <c r="D143" s="231"/>
      <c r="F143" s="232"/>
      <c r="H143" s="231"/>
    </row>
    <row r="144" spans="2:9" ht="15" x14ac:dyDescent="0.2">
      <c r="C144" s="230"/>
      <c r="D144" s="231"/>
      <c r="F144" s="232"/>
      <c r="H144" s="231"/>
    </row>
    <row r="145" spans="3:8" ht="15" x14ac:dyDescent="0.2">
      <c r="C145" s="230"/>
      <c r="D145" s="231"/>
      <c r="F145" s="232"/>
      <c r="H145" s="231"/>
    </row>
    <row r="146" spans="3:8" ht="15" x14ac:dyDescent="0.2">
      <c r="C146" s="230"/>
      <c r="D146" s="231"/>
      <c r="F146" s="232"/>
      <c r="H146" s="231"/>
    </row>
    <row r="147" spans="3:8" ht="15" x14ac:dyDescent="0.2">
      <c r="C147" s="230"/>
      <c r="D147" s="231"/>
      <c r="F147" s="232"/>
      <c r="H147" s="231"/>
    </row>
    <row r="148" spans="3:8" ht="15" x14ac:dyDescent="0.2">
      <c r="C148" s="230"/>
      <c r="D148" s="231"/>
      <c r="F148" s="232"/>
      <c r="H148" s="231"/>
    </row>
    <row r="149" spans="3:8" ht="15" x14ac:dyDescent="0.2">
      <c r="C149" s="230"/>
      <c r="D149" s="231"/>
      <c r="F149" s="232"/>
      <c r="H149" s="231"/>
    </row>
    <row r="150" spans="3:8" ht="15" x14ac:dyDescent="0.2">
      <c r="C150" s="230"/>
      <c r="D150" s="231"/>
      <c r="F150" s="232"/>
      <c r="H150" s="231"/>
    </row>
    <row r="151" spans="3:8" ht="15" x14ac:dyDescent="0.2">
      <c r="C151" s="230"/>
      <c r="D151" s="231"/>
      <c r="F151" s="232"/>
      <c r="H151" s="231"/>
    </row>
    <row r="152" spans="3:8" ht="15" x14ac:dyDescent="0.2">
      <c r="C152" s="230"/>
      <c r="D152" s="231"/>
      <c r="F152" s="232"/>
      <c r="H152" s="231"/>
    </row>
    <row r="153" spans="3:8" ht="15" x14ac:dyDescent="0.2">
      <c r="C153" s="230"/>
      <c r="D153" s="231"/>
      <c r="F153" s="232"/>
      <c r="H153" s="231"/>
    </row>
    <row r="154" spans="3:8" ht="15" x14ac:dyDescent="0.2">
      <c r="C154" s="230"/>
      <c r="D154" s="231"/>
      <c r="F154" s="232"/>
      <c r="H154" s="231"/>
    </row>
    <row r="155" spans="3:8" ht="15" x14ac:dyDescent="0.2">
      <c r="C155" s="230"/>
      <c r="D155" s="231"/>
      <c r="F155" s="232"/>
      <c r="H155" s="231"/>
    </row>
    <row r="156" spans="3:8" ht="15" x14ac:dyDescent="0.2">
      <c r="C156" s="230"/>
      <c r="D156" s="231"/>
      <c r="F156" s="232"/>
      <c r="H156" s="231"/>
    </row>
    <row r="157" spans="3:8" ht="15" x14ac:dyDescent="0.2">
      <c r="C157" s="230"/>
      <c r="D157" s="231"/>
      <c r="F157" s="232"/>
      <c r="H157" s="231"/>
    </row>
    <row r="158" spans="3:8" ht="15" x14ac:dyDescent="0.2">
      <c r="C158" s="230"/>
      <c r="D158" s="231"/>
      <c r="F158" s="232"/>
      <c r="H158" s="231"/>
    </row>
    <row r="159" spans="3:8" ht="15" x14ac:dyDescent="0.2">
      <c r="C159" s="230"/>
      <c r="D159" s="231"/>
      <c r="F159" s="232"/>
      <c r="H159" s="231"/>
    </row>
    <row r="160" spans="3:8" ht="15" x14ac:dyDescent="0.2">
      <c r="C160" s="230"/>
      <c r="D160" s="231"/>
      <c r="F160" s="232"/>
      <c r="H160" s="231"/>
    </row>
    <row r="161" spans="2:8" ht="15" x14ac:dyDescent="0.2">
      <c r="C161" s="230"/>
      <c r="D161" s="231"/>
      <c r="F161" s="232"/>
      <c r="H161" s="231"/>
    </row>
    <row r="162" spans="2:8" ht="15" x14ac:dyDescent="0.2">
      <c r="C162" s="230"/>
      <c r="D162" s="231"/>
      <c r="F162" s="232"/>
      <c r="H162" s="231"/>
    </row>
    <row r="163" spans="2:8" ht="15" x14ac:dyDescent="0.2">
      <c r="C163" s="230"/>
      <c r="D163" s="231"/>
      <c r="F163" s="232"/>
      <c r="H163" s="231"/>
    </row>
    <row r="164" spans="2:8" ht="15" x14ac:dyDescent="0.2">
      <c r="C164" s="230"/>
      <c r="D164" s="231"/>
      <c r="F164" s="232"/>
      <c r="H164" s="231"/>
    </row>
    <row r="165" spans="2:8" ht="15" x14ac:dyDescent="0.2">
      <c r="C165" s="230"/>
      <c r="D165" s="231"/>
      <c r="F165" s="232"/>
      <c r="H165" s="231"/>
    </row>
    <row r="166" spans="2:8" ht="15" x14ac:dyDescent="0.2">
      <c r="C166" s="230"/>
      <c r="D166" s="231"/>
      <c r="F166" s="232"/>
      <c r="H166" s="231"/>
    </row>
    <row r="167" spans="2:8" ht="15" x14ac:dyDescent="0.2">
      <c r="C167" s="230"/>
      <c r="D167" s="231"/>
      <c r="F167" s="232"/>
      <c r="H167" s="231"/>
    </row>
    <row r="168" spans="2:8" ht="15" x14ac:dyDescent="0.2">
      <c r="C168" s="230"/>
      <c r="D168" s="231"/>
      <c r="F168" s="232"/>
      <c r="H168" s="231"/>
    </row>
    <row r="169" spans="2:8" ht="15" x14ac:dyDescent="0.2">
      <c r="B169" s="231"/>
      <c r="D169" s="231"/>
      <c r="F169" s="235"/>
      <c r="H169" s="231"/>
    </row>
    <row r="170" spans="2:8" ht="15" x14ac:dyDescent="0.2">
      <c r="C170" s="236" t="s">
        <v>150</v>
      </c>
      <c r="D170" s="237"/>
      <c r="E170" s="238"/>
      <c r="F170" s="235">
        <f>SUM(F138:F169)</f>
        <v>0</v>
      </c>
      <c r="G170" s="239"/>
      <c r="H170" s="237"/>
    </row>
    <row r="173" spans="2:8" ht="15" x14ac:dyDescent="0.2">
      <c r="C173" s="240" t="s">
        <v>147</v>
      </c>
      <c r="D173" s="227"/>
      <c r="E173" s="227"/>
      <c r="F173" s="227"/>
      <c r="G173" s="227"/>
      <c r="H173" s="226"/>
    </row>
    <row r="174" spans="2:8" x14ac:dyDescent="0.2">
      <c r="C174" s="230"/>
      <c r="H174" s="231"/>
    </row>
    <row r="175" spans="2:8" x14ac:dyDescent="0.2">
      <c r="C175" s="230"/>
      <c r="H175" s="231"/>
    </row>
    <row r="176" spans="2:8" x14ac:dyDescent="0.2">
      <c r="C176" s="230"/>
      <c r="H176" s="231"/>
    </row>
    <row r="177" spans="3:8" x14ac:dyDescent="0.2">
      <c r="C177" s="230"/>
      <c r="H177" s="231"/>
    </row>
    <row r="178" spans="3:8" x14ac:dyDescent="0.2">
      <c r="C178" s="230"/>
      <c r="H178" s="231"/>
    </row>
    <row r="179" spans="3:8" x14ac:dyDescent="0.2">
      <c r="C179" s="230"/>
      <c r="H179" s="231"/>
    </row>
    <row r="180" spans="3:8" x14ac:dyDescent="0.2">
      <c r="C180" s="236"/>
      <c r="D180" s="239"/>
      <c r="E180" s="239"/>
      <c r="F180" s="239"/>
      <c r="G180" s="239"/>
      <c r="H180" s="237"/>
    </row>
  </sheetData>
  <pageMargins left="0.5" right="0.49" top="0.75" bottom="0.45" header="0.27" footer="0.2"/>
  <pageSetup scale="81" fitToHeight="999" orientation="portrait" r:id="rId1"/>
  <headerFooter alignWithMargins="0"/>
  <rowBreaks count="2" manualBreakCount="2">
    <brk id="63" max="16383" man="1"/>
    <brk id="124"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0"/>
  <sheetViews>
    <sheetView zoomScaleNormal="100" workbookViewId="0">
      <selection activeCell="M19" sqref="M19"/>
    </sheetView>
  </sheetViews>
  <sheetFormatPr defaultRowHeight="12.75" x14ac:dyDescent="0.2"/>
  <cols>
    <col min="1" max="1" width="9.83203125" style="215" customWidth="1"/>
    <col min="2" max="2" width="4" style="215" customWidth="1"/>
    <col min="3" max="4" width="16" style="215" customWidth="1"/>
    <col min="5" max="5" width="2" style="215" customWidth="1"/>
    <col min="6" max="6" width="16.33203125" style="215" customWidth="1"/>
    <col min="7" max="7" width="3.33203125" style="215" customWidth="1"/>
    <col min="8" max="8" width="54.33203125" style="215" customWidth="1"/>
    <col min="9" max="9" width="9.83203125" style="215" customWidth="1"/>
    <col min="10" max="16384" width="9.33203125" style="215"/>
  </cols>
  <sheetData>
    <row r="1" spans="2:9" ht="18.75" x14ac:dyDescent="0.3">
      <c r="B1" s="213">
        <f>+Summary!A2</f>
        <v>0</v>
      </c>
      <c r="C1" s="214"/>
      <c r="D1" s="214"/>
      <c r="E1" s="214"/>
      <c r="F1" s="214"/>
      <c r="G1" s="214"/>
      <c r="H1" s="214"/>
    </row>
    <row r="2" spans="2:9" ht="18" x14ac:dyDescent="0.25">
      <c r="B2" s="214" t="s">
        <v>152</v>
      </c>
      <c r="C2" s="214"/>
      <c r="D2" s="214"/>
      <c r="E2" s="214"/>
      <c r="F2" s="214"/>
      <c r="G2" s="214"/>
      <c r="H2" s="214"/>
    </row>
    <row r="4" spans="2:9" x14ac:dyDescent="0.2">
      <c r="G4" s="216" t="s">
        <v>140</v>
      </c>
    </row>
    <row r="6" spans="2:9" x14ac:dyDescent="0.2">
      <c r="B6" s="215" t="s">
        <v>141</v>
      </c>
      <c r="C6" s="217"/>
      <c r="H6" s="217"/>
    </row>
    <row r="7" spans="2:9" ht="18.75" x14ac:dyDescent="0.3">
      <c r="B7" s="217"/>
      <c r="C7" s="246" t="str">
        <f>+Summary!D6</f>
        <v>LIBRARY</v>
      </c>
      <c r="D7" s="219"/>
      <c r="F7" s="220"/>
      <c r="G7" s="217"/>
      <c r="H7" s="221"/>
      <c r="I7" s="217"/>
    </row>
    <row r="8" spans="2:9" x14ac:dyDescent="0.2">
      <c r="C8" s="217"/>
      <c r="G8" s="222"/>
      <c r="H8" s="217"/>
    </row>
    <row r="10" spans="2:9" x14ac:dyDescent="0.2">
      <c r="B10" s="215" t="s">
        <v>142</v>
      </c>
    </row>
    <row r="13" spans="2:9" x14ac:dyDescent="0.2">
      <c r="C13" s="223" t="s">
        <v>143</v>
      </c>
      <c r="D13" s="220"/>
      <c r="F13" s="215" t="s">
        <v>144</v>
      </c>
      <c r="H13" s="224" t="s">
        <v>145</v>
      </c>
    </row>
    <row r="14" spans="2:9" ht="15" x14ac:dyDescent="0.2">
      <c r="C14" s="225"/>
      <c r="D14" s="226"/>
      <c r="E14" s="227"/>
      <c r="F14" s="228"/>
      <c r="G14" s="227"/>
      <c r="H14" s="229"/>
    </row>
    <row r="15" spans="2:9" ht="45" x14ac:dyDescent="0.2">
      <c r="C15" s="309" t="s">
        <v>761</v>
      </c>
      <c r="D15" s="231"/>
      <c r="F15" s="310">
        <v>23517.5</v>
      </c>
      <c r="H15" s="311" t="s">
        <v>773</v>
      </c>
    </row>
    <row r="16" spans="2:9" ht="15" x14ac:dyDescent="0.2">
      <c r="C16" s="233"/>
      <c r="D16" s="231"/>
      <c r="F16" s="232"/>
      <c r="H16" s="234"/>
    </row>
    <row r="17" spans="3:9" ht="15" x14ac:dyDescent="0.2">
      <c r="C17" s="230"/>
      <c r="D17" s="231"/>
      <c r="F17" s="232"/>
      <c r="H17" s="234"/>
    </row>
    <row r="18" spans="3:9" ht="15" x14ac:dyDescent="0.2">
      <c r="C18" s="233"/>
      <c r="D18" s="231"/>
      <c r="F18" s="232"/>
      <c r="H18" s="234"/>
    </row>
    <row r="19" spans="3:9" ht="15" x14ac:dyDescent="0.2">
      <c r="C19" s="233"/>
      <c r="D19" s="231"/>
      <c r="F19" s="232"/>
      <c r="G19" s="217"/>
      <c r="H19" s="234"/>
      <c r="I19" s="217"/>
    </row>
    <row r="20" spans="3:9" ht="15" x14ac:dyDescent="0.2">
      <c r="C20" s="233"/>
      <c r="D20" s="231"/>
      <c r="F20" s="232"/>
      <c r="H20" s="234"/>
    </row>
    <row r="21" spans="3:9" ht="15" x14ac:dyDescent="0.2">
      <c r="C21" s="233"/>
      <c r="D21" s="231"/>
      <c r="F21" s="232"/>
      <c r="H21" s="234"/>
    </row>
    <row r="22" spans="3:9" ht="15" x14ac:dyDescent="0.2">
      <c r="C22" s="233"/>
      <c r="D22" s="231"/>
      <c r="F22" s="232"/>
      <c r="H22" s="231"/>
    </row>
    <row r="23" spans="3:9" ht="15" x14ac:dyDescent="0.2">
      <c r="C23" s="230"/>
      <c r="D23" s="231"/>
      <c r="F23" s="232"/>
      <c r="H23" s="231"/>
    </row>
    <row r="24" spans="3:9" ht="15" x14ac:dyDescent="0.2">
      <c r="C24" s="233"/>
      <c r="D24" s="231"/>
      <c r="F24" s="232"/>
      <c r="H24" s="234"/>
    </row>
    <row r="25" spans="3:9" ht="15" x14ac:dyDescent="0.2">
      <c r="C25" s="233"/>
      <c r="D25" s="231"/>
      <c r="F25" s="232"/>
      <c r="H25" s="231"/>
    </row>
    <row r="26" spans="3:9" ht="15" x14ac:dyDescent="0.2">
      <c r="C26" s="230"/>
      <c r="D26" s="231"/>
      <c r="F26" s="232"/>
      <c r="H26" s="231"/>
    </row>
    <row r="27" spans="3:9" ht="15" x14ac:dyDescent="0.2">
      <c r="C27" s="233"/>
      <c r="D27" s="231"/>
      <c r="F27" s="232"/>
      <c r="H27" s="234"/>
    </row>
    <row r="28" spans="3:9" ht="15" x14ac:dyDescent="0.2">
      <c r="C28" s="233"/>
      <c r="D28" s="231"/>
      <c r="F28" s="232"/>
      <c r="H28" s="231"/>
    </row>
    <row r="29" spans="3:9" ht="15" x14ac:dyDescent="0.2">
      <c r="C29" s="233"/>
      <c r="D29" s="231"/>
      <c r="F29" s="232"/>
      <c r="H29" s="234"/>
    </row>
    <row r="30" spans="3:9" ht="15" x14ac:dyDescent="0.2">
      <c r="C30" s="233"/>
      <c r="D30" s="231"/>
      <c r="F30" s="232"/>
      <c r="H30" s="234"/>
    </row>
    <row r="31" spans="3:9" ht="15" x14ac:dyDescent="0.2">
      <c r="C31" s="233"/>
      <c r="D31" s="231"/>
      <c r="F31" s="232"/>
      <c r="H31" s="234"/>
    </row>
    <row r="32" spans="3:9" ht="15" x14ac:dyDescent="0.2">
      <c r="C32" s="233"/>
      <c r="D32" s="231"/>
      <c r="F32" s="232"/>
      <c r="H32" s="234"/>
    </row>
    <row r="33" spans="2:8" ht="15" x14ac:dyDescent="0.2">
      <c r="C33" s="230"/>
      <c r="D33" s="231"/>
      <c r="F33" s="232"/>
      <c r="H33" s="231"/>
    </row>
    <row r="34" spans="2:8" ht="15" x14ac:dyDescent="0.2">
      <c r="C34" s="230"/>
      <c r="D34" s="231"/>
      <c r="F34" s="232"/>
      <c r="H34" s="231"/>
    </row>
    <row r="35" spans="2:8" ht="15" x14ac:dyDescent="0.2">
      <c r="C35" s="230"/>
      <c r="D35" s="231"/>
      <c r="F35" s="232"/>
      <c r="H35" s="231"/>
    </row>
    <row r="36" spans="2:8" ht="15" x14ac:dyDescent="0.2">
      <c r="C36" s="230"/>
      <c r="D36" s="231"/>
      <c r="F36" s="232"/>
      <c r="H36" s="231"/>
    </row>
    <row r="37" spans="2:8" ht="15" x14ac:dyDescent="0.2">
      <c r="C37" s="230"/>
      <c r="D37" s="231"/>
      <c r="F37" s="232"/>
      <c r="H37" s="231"/>
    </row>
    <row r="38" spans="2:8" ht="15" x14ac:dyDescent="0.2">
      <c r="C38" s="230"/>
      <c r="D38" s="231"/>
      <c r="F38" s="232"/>
      <c r="H38" s="231"/>
    </row>
    <row r="39" spans="2:8" ht="15" x14ac:dyDescent="0.2">
      <c r="C39" s="230"/>
      <c r="D39" s="231"/>
      <c r="F39" s="232"/>
      <c r="H39" s="231"/>
    </row>
    <row r="40" spans="2:8" ht="15" x14ac:dyDescent="0.2">
      <c r="C40" s="230"/>
      <c r="D40" s="231"/>
      <c r="F40" s="232"/>
      <c r="H40" s="231"/>
    </row>
    <row r="41" spans="2:8" ht="15" x14ac:dyDescent="0.2">
      <c r="C41" s="230"/>
      <c r="D41" s="231"/>
      <c r="F41" s="232"/>
      <c r="H41" s="231"/>
    </row>
    <row r="42" spans="2:8" ht="15" x14ac:dyDescent="0.2">
      <c r="C42" s="230"/>
      <c r="D42" s="231"/>
      <c r="F42" s="232"/>
      <c r="H42" s="231"/>
    </row>
    <row r="43" spans="2:8" ht="15" x14ac:dyDescent="0.2">
      <c r="C43" s="230"/>
      <c r="D43" s="231"/>
      <c r="F43" s="232"/>
      <c r="H43" s="231"/>
    </row>
    <row r="44" spans="2:8" ht="15" x14ac:dyDescent="0.2">
      <c r="C44" s="230"/>
      <c r="D44" s="231"/>
      <c r="F44" s="232"/>
      <c r="H44" s="231"/>
    </row>
    <row r="45" spans="2:8" ht="15" x14ac:dyDescent="0.2">
      <c r="B45" s="231"/>
      <c r="D45" s="231"/>
      <c r="F45" s="235"/>
      <c r="H45" s="231"/>
    </row>
    <row r="46" spans="2:8" ht="15" x14ac:dyDescent="0.2">
      <c r="C46" s="236" t="s">
        <v>146</v>
      </c>
      <c r="D46" s="237"/>
      <c r="E46" s="238"/>
      <c r="F46" s="235">
        <f>SUM(F14:F45)+F170+F109</f>
        <v>23517.5</v>
      </c>
      <c r="G46" s="239"/>
      <c r="H46" s="237"/>
    </row>
    <row r="49" spans="2:8" ht="15" x14ac:dyDescent="0.2">
      <c r="C49" s="240" t="s">
        <v>147</v>
      </c>
      <c r="D49" s="227"/>
      <c r="E49" s="227"/>
      <c r="F49" s="227"/>
      <c r="G49" s="227"/>
      <c r="H49" s="226"/>
    </row>
    <row r="50" spans="2:8" x14ac:dyDescent="0.2">
      <c r="C50" s="233"/>
      <c r="H50" s="231"/>
    </row>
    <row r="51" spans="2:8" x14ac:dyDescent="0.2">
      <c r="C51" s="233"/>
      <c r="H51" s="231"/>
    </row>
    <row r="52" spans="2:8" x14ac:dyDescent="0.2">
      <c r="C52" s="230"/>
      <c r="H52" s="231"/>
    </row>
    <row r="53" spans="2:8" x14ac:dyDescent="0.2">
      <c r="C53" s="233"/>
      <c r="H53" s="231"/>
    </row>
    <row r="54" spans="2:8" x14ac:dyDescent="0.2">
      <c r="C54" s="233"/>
      <c r="H54" s="231"/>
    </row>
    <row r="55" spans="2:8" x14ac:dyDescent="0.2">
      <c r="C55" s="230"/>
      <c r="H55" s="231"/>
    </row>
    <row r="56" spans="2:8" x14ac:dyDescent="0.2">
      <c r="C56" s="236"/>
      <c r="D56" s="239"/>
      <c r="E56" s="239"/>
      <c r="F56" s="239"/>
      <c r="G56" s="239"/>
      <c r="H56" s="237"/>
    </row>
    <row r="63" spans="2:8" ht="18" x14ac:dyDescent="0.25">
      <c r="B63" s="214"/>
      <c r="C63" s="241"/>
      <c r="D63" s="214"/>
      <c r="E63" s="214"/>
      <c r="F63" s="214"/>
      <c r="G63" s="214"/>
      <c r="H63" s="214"/>
    </row>
    <row r="64" spans="2:8" ht="18.75" x14ac:dyDescent="0.3">
      <c r="B64" s="213">
        <f>+B1</f>
        <v>0</v>
      </c>
      <c r="C64" s="214"/>
      <c r="D64" s="214"/>
      <c r="E64" s="214"/>
      <c r="F64" s="214"/>
      <c r="G64" s="214"/>
      <c r="H64" s="214"/>
    </row>
    <row r="65" spans="2:9" ht="18" x14ac:dyDescent="0.25">
      <c r="B65" s="214" t="s">
        <v>152</v>
      </c>
      <c r="C65" s="214"/>
      <c r="D65" s="214"/>
      <c r="E65" s="214"/>
      <c r="F65" s="214"/>
      <c r="G65" s="214"/>
      <c r="H65" s="214"/>
    </row>
    <row r="67" spans="2:9" x14ac:dyDescent="0.2">
      <c r="G67" s="216" t="s">
        <v>148</v>
      </c>
    </row>
    <row r="69" spans="2:9" x14ac:dyDescent="0.2">
      <c r="B69" s="215" t="s">
        <v>141</v>
      </c>
      <c r="C69" s="217"/>
      <c r="D69" s="217"/>
      <c r="F69" s="217"/>
      <c r="G69" s="217"/>
      <c r="H69" s="217"/>
      <c r="I69" s="217"/>
    </row>
    <row r="70" spans="2:9" ht="18.75" x14ac:dyDescent="0.3">
      <c r="B70" s="217"/>
      <c r="C70" s="218" t="str">
        <f>+C7</f>
        <v>LIBRARY</v>
      </c>
      <c r="D70" s="239"/>
      <c r="E70" s="217"/>
      <c r="F70" s="242"/>
      <c r="G70" s="221"/>
      <c r="H70" s="221"/>
      <c r="I70" s="243"/>
    </row>
    <row r="71" spans="2:9" x14ac:dyDescent="0.2">
      <c r="C71" s="217"/>
      <c r="D71" s="217"/>
      <c r="F71" s="217"/>
      <c r="G71" s="244"/>
      <c r="H71" s="217"/>
      <c r="I71" s="217"/>
    </row>
    <row r="73" spans="2:9" x14ac:dyDescent="0.2">
      <c r="B73" s="215" t="s">
        <v>142</v>
      </c>
    </row>
    <row r="76" spans="2:9" x14ac:dyDescent="0.2">
      <c r="C76" s="220" t="s">
        <v>149</v>
      </c>
      <c r="D76" s="220"/>
      <c r="F76" s="215" t="s">
        <v>144</v>
      </c>
      <c r="H76" s="224" t="s">
        <v>145</v>
      </c>
    </row>
    <row r="77" spans="2:9" ht="15" x14ac:dyDescent="0.2">
      <c r="C77" s="245"/>
      <c r="D77" s="226"/>
      <c r="E77" s="227"/>
      <c r="F77" s="228"/>
      <c r="G77" s="227"/>
      <c r="H77" s="226"/>
    </row>
    <row r="78" spans="2:9" ht="15" x14ac:dyDescent="0.2">
      <c r="C78" s="230"/>
      <c r="D78" s="231"/>
      <c r="F78" s="232"/>
      <c r="H78" s="231"/>
    </row>
    <row r="79" spans="2:9" ht="15" x14ac:dyDescent="0.2">
      <c r="C79" s="230"/>
      <c r="D79" s="231"/>
      <c r="F79" s="232"/>
      <c r="H79" s="231"/>
    </row>
    <row r="80" spans="2:9" ht="15" x14ac:dyDescent="0.2">
      <c r="C80" s="230"/>
      <c r="D80" s="231"/>
      <c r="F80" s="232"/>
      <c r="H80" s="231"/>
    </row>
    <row r="81" spans="3:8" ht="15" x14ac:dyDescent="0.2">
      <c r="C81" s="230"/>
      <c r="D81" s="231"/>
      <c r="F81" s="232"/>
      <c r="H81" s="231"/>
    </row>
    <row r="82" spans="3:8" ht="15" x14ac:dyDescent="0.2">
      <c r="C82" s="230"/>
      <c r="D82" s="231"/>
      <c r="F82" s="232"/>
      <c r="H82" s="231"/>
    </row>
    <row r="83" spans="3:8" ht="15" x14ac:dyDescent="0.2">
      <c r="C83" s="230"/>
      <c r="D83" s="231"/>
      <c r="F83" s="232"/>
      <c r="H83" s="231"/>
    </row>
    <row r="84" spans="3:8" ht="15" x14ac:dyDescent="0.2">
      <c r="C84" s="230"/>
      <c r="D84" s="231"/>
      <c r="F84" s="232"/>
      <c r="H84" s="231"/>
    </row>
    <row r="85" spans="3:8" ht="15" x14ac:dyDescent="0.2">
      <c r="C85" s="230"/>
      <c r="D85" s="231"/>
      <c r="F85" s="232"/>
      <c r="H85" s="231"/>
    </row>
    <row r="86" spans="3:8" ht="15" x14ac:dyDescent="0.2">
      <c r="C86" s="230"/>
      <c r="D86" s="231"/>
      <c r="F86" s="232"/>
      <c r="H86" s="231"/>
    </row>
    <row r="87" spans="3:8" ht="15" x14ac:dyDescent="0.2">
      <c r="C87" s="230"/>
      <c r="D87" s="231"/>
      <c r="F87" s="232"/>
      <c r="H87" s="231"/>
    </row>
    <row r="88" spans="3:8" ht="15" x14ac:dyDescent="0.2">
      <c r="C88" s="230"/>
      <c r="D88" s="231"/>
      <c r="F88" s="232"/>
      <c r="H88" s="231"/>
    </row>
    <row r="89" spans="3:8" ht="15" x14ac:dyDescent="0.2">
      <c r="C89" s="230"/>
      <c r="D89" s="231"/>
      <c r="F89" s="232"/>
      <c r="H89" s="231"/>
    </row>
    <row r="90" spans="3:8" ht="15" x14ac:dyDescent="0.2">
      <c r="C90" s="230"/>
      <c r="D90" s="231"/>
      <c r="F90" s="232"/>
      <c r="H90" s="231"/>
    </row>
    <row r="91" spans="3:8" ht="15" x14ac:dyDescent="0.2">
      <c r="C91" s="230"/>
      <c r="D91" s="231"/>
      <c r="F91" s="232"/>
      <c r="H91" s="231"/>
    </row>
    <row r="92" spans="3:8" ht="15" x14ac:dyDescent="0.2">
      <c r="C92" s="230"/>
      <c r="D92" s="231"/>
      <c r="F92" s="232"/>
      <c r="H92" s="231"/>
    </row>
    <row r="93" spans="3:8" ht="15" x14ac:dyDescent="0.2">
      <c r="C93" s="230"/>
      <c r="D93" s="231"/>
      <c r="F93" s="232"/>
      <c r="H93" s="231"/>
    </row>
    <row r="94" spans="3:8" ht="15" x14ac:dyDescent="0.2">
      <c r="C94" s="230"/>
      <c r="D94" s="231"/>
      <c r="F94" s="232"/>
      <c r="H94" s="231"/>
    </row>
    <row r="95" spans="3:8" ht="15" x14ac:dyDescent="0.2">
      <c r="C95" s="230"/>
      <c r="D95" s="231"/>
      <c r="F95" s="232"/>
      <c r="H95" s="231"/>
    </row>
    <row r="96" spans="3:8" ht="15" x14ac:dyDescent="0.2">
      <c r="C96" s="230"/>
      <c r="D96" s="231"/>
      <c r="F96" s="232"/>
      <c r="H96" s="231"/>
    </row>
    <row r="97" spans="2:8" ht="15" x14ac:dyDescent="0.2">
      <c r="C97" s="230"/>
      <c r="D97" s="231"/>
      <c r="F97" s="232"/>
      <c r="H97" s="231"/>
    </row>
    <row r="98" spans="2:8" ht="15" x14ac:dyDescent="0.2">
      <c r="C98" s="230"/>
      <c r="D98" s="231"/>
      <c r="F98" s="232"/>
      <c r="H98" s="231"/>
    </row>
    <row r="99" spans="2:8" ht="15" x14ac:dyDescent="0.2">
      <c r="C99" s="230"/>
      <c r="D99" s="231"/>
      <c r="F99" s="232"/>
      <c r="H99" s="231"/>
    </row>
    <row r="100" spans="2:8" ht="15" x14ac:dyDescent="0.2">
      <c r="C100" s="230"/>
      <c r="D100" s="231"/>
      <c r="F100" s="232"/>
      <c r="H100" s="231"/>
    </row>
    <row r="101" spans="2:8" ht="15" x14ac:dyDescent="0.2">
      <c r="C101" s="230"/>
      <c r="D101" s="231"/>
      <c r="F101" s="232"/>
      <c r="H101" s="231"/>
    </row>
    <row r="102" spans="2:8" ht="15" x14ac:dyDescent="0.2">
      <c r="C102" s="230"/>
      <c r="D102" s="231"/>
      <c r="F102" s="232"/>
      <c r="H102" s="231"/>
    </row>
    <row r="103" spans="2:8" ht="15" x14ac:dyDescent="0.2">
      <c r="C103" s="230"/>
      <c r="D103" s="231"/>
      <c r="F103" s="232"/>
      <c r="H103" s="231"/>
    </row>
    <row r="104" spans="2:8" ht="15" x14ac:dyDescent="0.2">
      <c r="C104" s="230"/>
      <c r="D104" s="231"/>
      <c r="F104" s="232"/>
      <c r="H104" s="231"/>
    </row>
    <row r="105" spans="2:8" ht="15" x14ac:dyDescent="0.2">
      <c r="C105" s="230"/>
      <c r="D105" s="231"/>
      <c r="F105" s="232"/>
      <c r="H105" s="231"/>
    </row>
    <row r="106" spans="2:8" ht="15" x14ac:dyDescent="0.2">
      <c r="C106" s="230"/>
      <c r="D106" s="231"/>
      <c r="F106" s="232"/>
      <c r="H106" s="231"/>
    </row>
    <row r="107" spans="2:8" ht="15" x14ac:dyDescent="0.2">
      <c r="C107" s="230"/>
      <c r="D107" s="231"/>
      <c r="F107" s="232"/>
      <c r="H107" s="231"/>
    </row>
    <row r="108" spans="2:8" ht="15" x14ac:dyDescent="0.2">
      <c r="B108" s="231"/>
      <c r="D108" s="231"/>
      <c r="F108" s="235"/>
      <c r="H108" s="231"/>
    </row>
    <row r="109" spans="2:8" ht="15" x14ac:dyDescent="0.2">
      <c r="C109" s="236" t="s">
        <v>150</v>
      </c>
      <c r="D109" s="237"/>
      <c r="E109" s="238"/>
      <c r="F109" s="235">
        <f>SUM(F77:F108)</f>
        <v>0</v>
      </c>
      <c r="G109" s="239"/>
      <c r="H109" s="237"/>
    </row>
    <row r="112" spans="2:8" ht="15" x14ac:dyDescent="0.2">
      <c r="C112" s="240" t="s">
        <v>147</v>
      </c>
      <c r="D112" s="227"/>
      <c r="E112" s="227"/>
      <c r="F112" s="227"/>
      <c r="G112" s="227"/>
      <c r="H112" s="226"/>
    </row>
    <row r="113" spans="2:8" x14ac:dyDescent="0.2">
      <c r="C113" s="230"/>
      <c r="H113" s="231"/>
    </row>
    <row r="114" spans="2:8" x14ac:dyDescent="0.2">
      <c r="C114" s="230"/>
      <c r="H114" s="231"/>
    </row>
    <row r="115" spans="2:8" x14ac:dyDescent="0.2">
      <c r="C115" s="230"/>
      <c r="H115" s="231"/>
    </row>
    <row r="116" spans="2:8" x14ac:dyDescent="0.2">
      <c r="C116" s="230"/>
      <c r="H116" s="231"/>
    </row>
    <row r="117" spans="2:8" x14ac:dyDescent="0.2">
      <c r="C117" s="230"/>
      <c r="H117" s="231"/>
    </row>
    <row r="118" spans="2:8" x14ac:dyDescent="0.2">
      <c r="C118" s="230"/>
      <c r="H118" s="231"/>
    </row>
    <row r="119" spans="2:8" x14ac:dyDescent="0.2">
      <c r="C119" s="236"/>
      <c r="D119" s="239"/>
      <c r="E119" s="239"/>
      <c r="F119" s="239"/>
      <c r="G119" s="239"/>
      <c r="H119" s="237"/>
    </row>
    <row r="124" spans="2:8" ht="18" x14ac:dyDescent="0.25">
      <c r="B124" s="214"/>
      <c r="C124" s="241"/>
      <c r="D124" s="214"/>
      <c r="E124" s="214"/>
      <c r="F124" s="214"/>
      <c r="G124" s="214"/>
      <c r="H124" s="214"/>
    </row>
    <row r="125" spans="2:8" ht="18.75" x14ac:dyDescent="0.3">
      <c r="B125" s="213">
        <f>+B1</f>
        <v>0</v>
      </c>
      <c r="C125" s="214"/>
      <c r="D125" s="214"/>
      <c r="E125" s="214"/>
      <c r="F125" s="214"/>
      <c r="G125" s="214"/>
      <c r="H125" s="214"/>
    </row>
    <row r="126" spans="2:8" ht="18" x14ac:dyDescent="0.25">
      <c r="B126" s="214" t="s">
        <v>152</v>
      </c>
      <c r="C126" s="214"/>
      <c r="D126" s="214"/>
      <c r="E126" s="214"/>
      <c r="F126" s="214"/>
      <c r="G126" s="214"/>
      <c r="H126" s="214"/>
    </row>
    <row r="128" spans="2:8" x14ac:dyDescent="0.2">
      <c r="G128" s="216" t="s">
        <v>151</v>
      </c>
    </row>
    <row r="130" spans="2:9" x14ac:dyDescent="0.2">
      <c r="B130" s="215" t="s">
        <v>141</v>
      </c>
      <c r="C130" s="217"/>
      <c r="F130" s="217"/>
      <c r="G130" s="217"/>
      <c r="H130" s="217"/>
      <c r="I130" s="217"/>
    </row>
    <row r="131" spans="2:9" ht="18.75" x14ac:dyDescent="0.3">
      <c r="B131" s="217"/>
      <c r="C131" s="218" t="str">
        <f>+C7</f>
        <v>LIBRARY</v>
      </c>
      <c r="D131" s="219"/>
      <c r="E131" s="217"/>
      <c r="F131" s="242"/>
      <c r="G131" s="242"/>
      <c r="H131" s="221"/>
      <c r="I131" s="243"/>
    </row>
    <row r="132" spans="2:9" x14ac:dyDescent="0.2">
      <c r="C132" s="217"/>
      <c r="F132" s="217"/>
      <c r="G132" s="244"/>
      <c r="H132" s="217"/>
      <c r="I132" s="217"/>
    </row>
    <row r="134" spans="2:9" x14ac:dyDescent="0.2">
      <c r="B134" s="215" t="s">
        <v>142</v>
      </c>
    </row>
    <row r="137" spans="2:9" x14ac:dyDescent="0.2">
      <c r="C137" s="220" t="s">
        <v>149</v>
      </c>
      <c r="D137" s="220"/>
      <c r="F137" s="215" t="s">
        <v>144</v>
      </c>
      <c r="H137" s="224" t="s">
        <v>145</v>
      </c>
    </row>
    <row r="138" spans="2:9" ht="15" x14ac:dyDescent="0.2">
      <c r="C138" s="245"/>
      <c r="D138" s="226"/>
      <c r="E138" s="227"/>
      <c r="F138" s="228"/>
      <c r="G138" s="227"/>
      <c r="H138" s="226"/>
    </row>
    <row r="139" spans="2:9" ht="15" x14ac:dyDescent="0.2">
      <c r="C139" s="230"/>
      <c r="D139" s="231"/>
      <c r="F139" s="232"/>
      <c r="H139" s="231"/>
    </row>
    <row r="140" spans="2:9" ht="15" x14ac:dyDescent="0.2">
      <c r="C140" s="230"/>
      <c r="D140" s="231"/>
      <c r="F140" s="232"/>
      <c r="H140" s="231"/>
    </row>
    <row r="141" spans="2:9" ht="15" x14ac:dyDescent="0.2">
      <c r="C141" s="230"/>
      <c r="D141" s="231"/>
      <c r="F141" s="232"/>
      <c r="H141" s="231"/>
    </row>
    <row r="142" spans="2:9" ht="15" x14ac:dyDescent="0.2">
      <c r="C142" s="230"/>
      <c r="D142" s="231"/>
      <c r="F142" s="232"/>
      <c r="H142" s="231"/>
    </row>
    <row r="143" spans="2:9" ht="15" x14ac:dyDescent="0.2">
      <c r="C143" s="230"/>
      <c r="D143" s="231"/>
      <c r="F143" s="232"/>
      <c r="H143" s="231"/>
    </row>
    <row r="144" spans="2:9" ht="15" x14ac:dyDescent="0.2">
      <c r="C144" s="230"/>
      <c r="D144" s="231"/>
      <c r="F144" s="232"/>
      <c r="H144" s="231"/>
    </row>
    <row r="145" spans="3:8" ht="15" x14ac:dyDescent="0.2">
      <c r="C145" s="230"/>
      <c r="D145" s="231"/>
      <c r="F145" s="232"/>
      <c r="H145" s="231"/>
    </row>
    <row r="146" spans="3:8" ht="15" x14ac:dyDescent="0.2">
      <c r="C146" s="230"/>
      <c r="D146" s="231"/>
      <c r="F146" s="232"/>
      <c r="H146" s="231"/>
    </row>
    <row r="147" spans="3:8" ht="15" x14ac:dyDescent="0.2">
      <c r="C147" s="230"/>
      <c r="D147" s="231"/>
      <c r="F147" s="232"/>
      <c r="H147" s="231"/>
    </row>
    <row r="148" spans="3:8" ht="15" x14ac:dyDescent="0.2">
      <c r="C148" s="230"/>
      <c r="D148" s="231"/>
      <c r="F148" s="232"/>
      <c r="H148" s="231"/>
    </row>
    <row r="149" spans="3:8" ht="15" x14ac:dyDescent="0.2">
      <c r="C149" s="230"/>
      <c r="D149" s="231"/>
      <c r="F149" s="232"/>
      <c r="H149" s="231"/>
    </row>
    <row r="150" spans="3:8" ht="15" x14ac:dyDescent="0.2">
      <c r="C150" s="230"/>
      <c r="D150" s="231"/>
      <c r="F150" s="232"/>
      <c r="H150" s="231"/>
    </row>
    <row r="151" spans="3:8" ht="15" x14ac:dyDescent="0.2">
      <c r="C151" s="230"/>
      <c r="D151" s="231"/>
      <c r="F151" s="232"/>
      <c r="H151" s="231"/>
    </row>
    <row r="152" spans="3:8" ht="15" x14ac:dyDescent="0.2">
      <c r="C152" s="230"/>
      <c r="D152" s="231"/>
      <c r="F152" s="232"/>
      <c r="H152" s="231"/>
    </row>
    <row r="153" spans="3:8" ht="15" x14ac:dyDescent="0.2">
      <c r="C153" s="230"/>
      <c r="D153" s="231"/>
      <c r="F153" s="232"/>
      <c r="H153" s="231"/>
    </row>
    <row r="154" spans="3:8" ht="15" x14ac:dyDescent="0.2">
      <c r="C154" s="230"/>
      <c r="D154" s="231"/>
      <c r="F154" s="232"/>
      <c r="H154" s="231"/>
    </row>
    <row r="155" spans="3:8" ht="15" x14ac:dyDescent="0.2">
      <c r="C155" s="230"/>
      <c r="D155" s="231"/>
      <c r="F155" s="232"/>
      <c r="H155" s="231"/>
    </row>
    <row r="156" spans="3:8" ht="15" x14ac:dyDescent="0.2">
      <c r="C156" s="230"/>
      <c r="D156" s="231"/>
      <c r="F156" s="232"/>
      <c r="H156" s="231"/>
    </row>
    <row r="157" spans="3:8" ht="15" x14ac:dyDescent="0.2">
      <c r="C157" s="230"/>
      <c r="D157" s="231"/>
      <c r="F157" s="232"/>
      <c r="H157" s="231"/>
    </row>
    <row r="158" spans="3:8" ht="15" x14ac:dyDescent="0.2">
      <c r="C158" s="230"/>
      <c r="D158" s="231"/>
      <c r="F158" s="232"/>
      <c r="H158" s="231"/>
    </row>
    <row r="159" spans="3:8" ht="15" x14ac:dyDescent="0.2">
      <c r="C159" s="230"/>
      <c r="D159" s="231"/>
      <c r="F159" s="232"/>
      <c r="H159" s="231"/>
    </row>
    <row r="160" spans="3:8" ht="15" x14ac:dyDescent="0.2">
      <c r="C160" s="230"/>
      <c r="D160" s="231"/>
      <c r="F160" s="232"/>
      <c r="H160" s="231"/>
    </row>
    <row r="161" spans="2:8" ht="15" x14ac:dyDescent="0.2">
      <c r="C161" s="230"/>
      <c r="D161" s="231"/>
      <c r="F161" s="232"/>
      <c r="H161" s="231"/>
    </row>
    <row r="162" spans="2:8" ht="15" x14ac:dyDescent="0.2">
      <c r="C162" s="230"/>
      <c r="D162" s="231"/>
      <c r="F162" s="232"/>
      <c r="H162" s="231"/>
    </row>
    <row r="163" spans="2:8" ht="15" x14ac:dyDescent="0.2">
      <c r="C163" s="230"/>
      <c r="D163" s="231"/>
      <c r="F163" s="232"/>
      <c r="H163" s="231"/>
    </row>
    <row r="164" spans="2:8" ht="15" x14ac:dyDescent="0.2">
      <c r="C164" s="230"/>
      <c r="D164" s="231"/>
      <c r="F164" s="232"/>
      <c r="H164" s="231"/>
    </row>
    <row r="165" spans="2:8" ht="15" x14ac:dyDescent="0.2">
      <c r="C165" s="230"/>
      <c r="D165" s="231"/>
      <c r="F165" s="232"/>
      <c r="H165" s="231"/>
    </row>
    <row r="166" spans="2:8" ht="15" x14ac:dyDescent="0.2">
      <c r="C166" s="230"/>
      <c r="D166" s="231"/>
      <c r="F166" s="232"/>
      <c r="H166" s="231"/>
    </row>
    <row r="167" spans="2:8" ht="15" x14ac:dyDescent="0.2">
      <c r="C167" s="230"/>
      <c r="D167" s="231"/>
      <c r="F167" s="232"/>
      <c r="H167" s="231"/>
    </row>
    <row r="168" spans="2:8" ht="15" x14ac:dyDescent="0.2">
      <c r="C168" s="230"/>
      <c r="D168" s="231"/>
      <c r="F168" s="232"/>
      <c r="H168" s="231"/>
    </row>
    <row r="169" spans="2:8" ht="15" x14ac:dyDescent="0.2">
      <c r="B169" s="231"/>
      <c r="D169" s="231"/>
      <c r="F169" s="235"/>
      <c r="H169" s="231"/>
    </row>
    <row r="170" spans="2:8" ht="15" x14ac:dyDescent="0.2">
      <c r="C170" s="236" t="s">
        <v>150</v>
      </c>
      <c r="D170" s="237"/>
      <c r="E170" s="238"/>
      <c r="F170" s="235">
        <f>SUM(F138:F169)</f>
        <v>0</v>
      </c>
      <c r="G170" s="239"/>
      <c r="H170" s="237"/>
    </row>
    <row r="173" spans="2:8" ht="15" x14ac:dyDescent="0.2">
      <c r="C173" s="240" t="s">
        <v>147</v>
      </c>
      <c r="D173" s="227"/>
      <c r="E173" s="227"/>
      <c r="F173" s="227"/>
      <c r="G173" s="227"/>
      <c r="H173" s="226"/>
    </row>
    <row r="174" spans="2:8" x14ac:dyDescent="0.2">
      <c r="C174" s="230"/>
      <c r="H174" s="231"/>
    </row>
    <row r="175" spans="2:8" x14ac:dyDescent="0.2">
      <c r="C175" s="230"/>
      <c r="H175" s="231"/>
    </row>
    <row r="176" spans="2:8" x14ac:dyDescent="0.2">
      <c r="C176" s="230"/>
      <c r="H176" s="231"/>
    </row>
    <row r="177" spans="3:8" x14ac:dyDescent="0.2">
      <c r="C177" s="230"/>
      <c r="H177" s="231"/>
    </row>
    <row r="178" spans="3:8" x14ac:dyDescent="0.2">
      <c r="C178" s="230"/>
      <c r="H178" s="231"/>
    </row>
    <row r="179" spans="3:8" x14ac:dyDescent="0.2">
      <c r="C179" s="230"/>
      <c r="H179" s="231"/>
    </row>
    <row r="180" spans="3:8" x14ac:dyDescent="0.2">
      <c r="C180" s="236"/>
      <c r="D180" s="239"/>
      <c r="E180" s="239"/>
      <c r="F180" s="239"/>
      <c r="G180" s="239"/>
      <c r="H180" s="237"/>
    </row>
  </sheetData>
  <pageMargins left="0.5" right="0.49" top="0.75" bottom="0.45" header="0.27" footer="0.2"/>
  <pageSetup scale="81" fitToHeight="999" orientation="portrait" r:id="rId1"/>
  <headerFooter alignWithMargins="0"/>
  <rowBreaks count="2" manualBreakCount="2">
    <brk id="63" max="16383" man="1"/>
    <brk id="124"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F42" sqref="F42"/>
    </sheetView>
  </sheetViews>
  <sheetFormatPr defaultRowHeight="12.75" x14ac:dyDescent="0.2"/>
  <cols>
    <col min="1" max="16384" width="9.33203125" style="5"/>
  </cols>
  <sheetData>
    <row r="1" spans="1:10" x14ac:dyDescent="0.2">
      <c r="A1" s="3"/>
      <c r="B1" s="3"/>
      <c r="C1" s="3"/>
      <c r="D1" s="3"/>
      <c r="E1" s="3"/>
      <c r="F1" s="3"/>
      <c r="G1" s="3"/>
      <c r="H1" s="4"/>
      <c r="I1" s="4"/>
      <c r="J1" s="4"/>
    </row>
    <row r="2" spans="1:10" ht="15.75" x14ac:dyDescent="0.25">
      <c r="A2" s="37">
        <f>+Summary!A2</f>
        <v>0</v>
      </c>
      <c r="B2" s="6"/>
      <c r="C2" s="6"/>
      <c r="D2" s="6"/>
      <c r="E2" s="6"/>
      <c r="F2" s="6"/>
      <c r="G2" s="6"/>
      <c r="H2" s="7"/>
      <c r="I2" s="7"/>
      <c r="J2" s="7"/>
    </row>
    <row r="3" spans="1:10" ht="15.75" x14ac:dyDescent="0.25">
      <c r="A3" s="29" t="s">
        <v>14</v>
      </c>
      <c r="B3" s="6"/>
      <c r="C3" s="6"/>
      <c r="D3" s="6"/>
      <c r="E3" s="6"/>
      <c r="F3" s="6"/>
      <c r="G3" s="6"/>
      <c r="H3" s="7"/>
      <c r="I3" s="7"/>
      <c r="J3" s="7"/>
    </row>
    <row r="4" spans="1:10" x14ac:dyDescent="0.2">
      <c r="A4" s="6"/>
      <c r="B4" s="6"/>
      <c r="C4" s="6"/>
      <c r="D4" s="6"/>
      <c r="E4" s="6"/>
      <c r="F4" s="6"/>
      <c r="G4" s="6"/>
      <c r="H4" s="7"/>
      <c r="I4" s="7"/>
      <c r="J4" s="7"/>
    </row>
    <row r="5" spans="1:10" x14ac:dyDescent="0.2">
      <c r="A5" s="8"/>
      <c r="B5" s="8"/>
      <c r="C5" s="8"/>
      <c r="D5" s="8"/>
      <c r="E5" s="8"/>
      <c r="F5" s="8"/>
      <c r="G5" s="6"/>
      <c r="H5" s="7"/>
      <c r="I5" s="7"/>
      <c r="J5" s="7"/>
    </row>
    <row r="6" spans="1:10" x14ac:dyDescent="0.2">
      <c r="A6" s="9"/>
      <c r="B6" s="9"/>
      <c r="C6" s="9"/>
      <c r="D6" s="10"/>
      <c r="E6" s="9"/>
      <c r="F6" s="9"/>
      <c r="G6" s="9"/>
      <c r="H6" s="4"/>
      <c r="I6" s="4"/>
      <c r="J6" s="4"/>
    </row>
    <row r="7" spans="1:10" x14ac:dyDescent="0.2">
      <c r="A7" s="9"/>
      <c r="B7" s="9"/>
      <c r="C7" s="9"/>
      <c r="D7" s="9"/>
      <c r="E7" s="10"/>
      <c r="F7" s="10"/>
      <c r="G7" s="3"/>
      <c r="H7" s="4"/>
      <c r="I7" s="4"/>
      <c r="J7" s="4"/>
    </row>
    <row r="8" spans="1:10" x14ac:dyDescent="0.2">
      <c r="A8" s="3"/>
      <c r="B8" s="11" t="s">
        <v>15</v>
      </c>
      <c r="C8" s="12"/>
      <c r="D8" s="308" t="s">
        <v>762</v>
      </c>
      <c r="E8" s="12"/>
      <c r="F8" s="12"/>
      <c r="G8" s="12"/>
      <c r="H8" s="13"/>
      <c r="I8" s="13"/>
      <c r="J8" s="13"/>
    </row>
    <row r="9" spans="1:10" x14ac:dyDescent="0.2">
      <c r="A9" s="3"/>
      <c r="B9" s="11"/>
      <c r="C9" s="3"/>
      <c r="D9" s="3"/>
      <c r="E9" s="3"/>
      <c r="F9" s="3"/>
      <c r="G9" s="3"/>
      <c r="H9" s="4"/>
      <c r="I9" s="4"/>
      <c r="J9" s="4"/>
    </row>
    <row r="10" spans="1:10" x14ac:dyDescent="0.2">
      <c r="A10" s="3"/>
      <c r="B10" s="11" t="s">
        <v>16</v>
      </c>
      <c r="C10" s="12"/>
      <c r="D10" s="308" t="s">
        <v>774</v>
      </c>
      <c r="E10" s="12"/>
      <c r="F10" s="12"/>
      <c r="G10" s="12"/>
      <c r="H10" s="13"/>
      <c r="I10" s="13"/>
      <c r="J10" s="13"/>
    </row>
    <row r="11" spans="1:10" x14ac:dyDescent="0.2">
      <c r="A11" s="3"/>
      <c r="B11" s="11"/>
      <c r="C11" s="3"/>
      <c r="D11" s="3"/>
      <c r="E11" s="3"/>
      <c r="F11" s="3"/>
      <c r="G11" s="3"/>
      <c r="H11" s="4"/>
      <c r="I11" s="4"/>
      <c r="J11" s="4"/>
    </row>
    <row r="12" spans="1:10" x14ac:dyDescent="0.2">
      <c r="A12" s="3"/>
      <c r="B12" s="11" t="s">
        <v>17</v>
      </c>
      <c r="C12" s="12"/>
      <c r="D12" s="308" t="s">
        <v>766</v>
      </c>
      <c r="E12" s="12"/>
      <c r="F12" s="12"/>
      <c r="G12" s="12"/>
      <c r="H12" s="13"/>
      <c r="I12" s="13"/>
      <c r="J12" s="13"/>
    </row>
    <row r="13" spans="1:10" x14ac:dyDescent="0.2">
      <c r="A13" s="3"/>
      <c r="B13" s="11"/>
      <c r="C13" s="3"/>
      <c r="D13" s="307" t="s">
        <v>763</v>
      </c>
      <c r="E13" s="3"/>
      <c r="F13" s="3"/>
      <c r="G13" s="3"/>
      <c r="H13" s="4"/>
      <c r="I13" s="4"/>
      <c r="J13" s="4"/>
    </row>
    <row r="14" spans="1:10" x14ac:dyDescent="0.2">
      <c r="A14" s="3"/>
      <c r="B14" s="11" t="s">
        <v>18</v>
      </c>
      <c r="C14" s="12"/>
      <c r="D14" s="308" t="s">
        <v>764</v>
      </c>
      <c r="E14" s="12"/>
      <c r="F14" s="12"/>
      <c r="G14" s="12"/>
      <c r="H14" s="13"/>
      <c r="I14" s="13"/>
      <c r="J14" s="13"/>
    </row>
    <row r="15" spans="1:10" x14ac:dyDescent="0.2">
      <c r="A15" s="3"/>
      <c r="B15" s="3"/>
      <c r="C15" s="12"/>
      <c r="D15" s="12"/>
      <c r="E15" s="12"/>
      <c r="F15" s="12"/>
      <c r="G15" s="12"/>
      <c r="H15" s="13"/>
      <c r="I15" s="13"/>
      <c r="J15" s="13"/>
    </row>
    <row r="16" spans="1:10" x14ac:dyDescent="0.2">
      <c r="A16" s="3"/>
      <c r="B16" s="3"/>
      <c r="C16" s="14"/>
      <c r="D16" s="14"/>
      <c r="E16" s="14"/>
      <c r="F16" s="14"/>
      <c r="G16" s="14"/>
      <c r="H16" s="15"/>
      <c r="I16" s="15"/>
      <c r="J16" s="15"/>
    </row>
    <row r="17" spans="1:10" x14ac:dyDescent="0.2">
      <c r="A17" s="3"/>
      <c r="B17" s="3"/>
      <c r="C17" s="3"/>
      <c r="D17" s="3"/>
      <c r="E17" s="3"/>
      <c r="F17" s="3"/>
      <c r="G17" s="3"/>
      <c r="H17" s="4"/>
      <c r="I17" s="4"/>
      <c r="J17" s="4"/>
    </row>
    <row r="18" spans="1:10" x14ac:dyDescent="0.2">
      <c r="A18" s="3"/>
      <c r="B18" s="3"/>
      <c r="C18" s="3"/>
      <c r="D18" s="3"/>
      <c r="E18" s="3"/>
      <c r="F18" s="3"/>
      <c r="G18" s="3"/>
      <c r="H18" s="4"/>
      <c r="I18" s="4"/>
      <c r="J18" s="4"/>
    </row>
    <row r="19" spans="1:10" x14ac:dyDescent="0.2">
      <c r="A19" s="6" t="s">
        <v>19</v>
      </c>
      <c r="B19" s="6"/>
      <c r="C19" s="6"/>
      <c r="D19" s="3"/>
      <c r="E19" s="3" t="s">
        <v>20</v>
      </c>
      <c r="F19" s="3"/>
      <c r="G19" s="3"/>
      <c r="H19" s="4"/>
      <c r="I19" s="4"/>
      <c r="J19" s="4"/>
    </row>
    <row r="20" spans="1:10" x14ac:dyDescent="0.2">
      <c r="A20" s="3" t="s">
        <v>21</v>
      </c>
      <c r="B20" s="3"/>
      <c r="D20" s="16"/>
      <c r="E20" s="3" t="s">
        <v>22</v>
      </c>
      <c r="F20" s="3"/>
      <c r="H20" s="16"/>
      <c r="I20" s="4"/>
      <c r="J20" s="4"/>
    </row>
    <row r="21" spans="1:10" x14ac:dyDescent="0.2">
      <c r="A21" s="3" t="s">
        <v>23</v>
      </c>
      <c r="B21" s="3"/>
      <c r="D21" s="16"/>
      <c r="E21" s="3" t="s">
        <v>24</v>
      </c>
      <c r="F21" s="3"/>
      <c r="H21" s="16"/>
      <c r="I21" s="4"/>
      <c r="J21" s="4"/>
    </row>
    <row r="22" spans="1:10" x14ac:dyDescent="0.2">
      <c r="A22" s="3" t="s">
        <v>25</v>
      </c>
      <c r="B22" s="3"/>
      <c r="D22" s="16"/>
      <c r="E22" s="3" t="s">
        <v>26</v>
      </c>
      <c r="F22" s="3"/>
      <c r="H22" s="16"/>
      <c r="I22" s="4"/>
      <c r="J22" s="4"/>
    </row>
    <row r="23" spans="1:10" x14ac:dyDescent="0.2">
      <c r="A23" s="3" t="s">
        <v>27</v>
      </c>
      <c r="B23" s="3"/>
      <c r="D23" s="16"/>
      <c r="E23" s="3" t="s">
        <v>28</v>
      </c>
      <c r="F23" s="3"/>
      <c r="H23" s="306" t="s">
        <v>765</v>
      </c>
      <c r="I23" s="4"/>
      <c r="J23" s="4"/>
    </row>
    <row r="24" spans="1:10" x14ac:dyDescent="0.2">
      <c r="A24" s="3" t="s">
        <v>29</v>
      </c>
      <c r="B24" s="3"/>
      <c r="D24" s="16"/>
      <c r="E24" s="3"/>
      <c r="F24" s="3"/>
      <c r="G24" s="3"/>
      <c r="H24" s="4"/>
      <c r="I24" s="4"/>
      <c r="J24" s="4"/>
    </row>
    <row r="25" spans="1:10" x14ac:dyDescent="0.2">
      <c r="A25" s="3" t="s">
        <v>30</v>
      </c>
      <c r="B25" s="3"/>
      <c r="D25" s="306" t="s">
        <v>765</v>
      </c>
      <c r="E25" s="3"/>
      <c r="F25" s="3"/>
      <c r="G25" s="3"/>
      <c r="H25" s="4"/>
      <c r="I25" s="4"/>
      <c r="J25" s="4"/>
    </row>
    <row r="26" spans="1:10" x14ac:dyDescent="0.2">
      <c r="A26" s="3"/>
      <c r="B26" s="3"/>
      <c r="C26" s="3"/>
      <c r="D26" s="3"/>
      <c r="E26" s="3"/>
      <c r="F26" s="17" t="s">
        <v>31</v>
      </c>
      <c r="G26" s="3"/>
      <c r="H26" s="4"/>
      <c r="I26" s="4"/>
      <c r="J26" s="4"/>
    </row>
    <row r="27" spans="1:10" x14ac:dyDescent="0.2">
      <c r="A27" s="3" t="s">
        <v>32</v>
      </c>
      <c r="B27" s="3"/>
      <c r="C27" s="3"/>
      <c r="D27" s="3"/>
      <c r="E27" s="3"/>
      <c r="F27" s="3"/>
      <c r="G27" s="3"/>
      <c r="H27" s="4"/>
      <c r="I27" s="4"/>
      <c r="J27" s="4"/>
    </row>
    <row r="28" spans="1:10" x14ac:dyDescent="0.2">
      <c r="A28" s="3" t="s">
        <v>33</v>
      </c>
      <c r="B28" s="3"/>
      <c r="D28" s="3"/>
      <c r="E28" s="16"/>
      <c r="F28" s="3" t="s">
        <v>34</v>
      </c>
      <c r="G28" s="3"/>
      <c r="I28" s="13"/>
      <c r="J28" s="13"/>
    </row>
    <row r="29" spans="1:10" x14ac:dyDescent="0.2">
      <c r="A29" s="3" t="s">
        <v>35</v>
      </c>
      <c r="B29" s="3"/>
      <c r="D29" s="3"/>
      <c r="E29" s="16"/>
      <c r="F29" s="3"/>
      <c r="G29" s="3"/>
      <c r="I29" s="4"/>
      <c r="J29" s="4"/>
    </row>
    <row r="30" spans="1:10" x14ac:dyDescent="0.2">
      <c r="A30" s="3" t="s">
        <v>36</v>
      </c>
      <c r="B30" s="3"/>
      <c r="D30" s="3"/>
      <c r="E30" s="16"/>
      <c r="F30" s="3" t="s">
        <v>37</v>
      </c>
      <c r="G30" s="3"/>
      <c r="I30" s="13"/>
      <c r="J30" s="13">
        <v>40248</v>
      </c>
    </row>
    <row r="31" spans="1:10" x14ac:dyDescent="0.2">
      <c r="A31" s="3" t="s">
        <v>38</v>
      </c>
      <c r="B31" s="3"/>
      <c r="D31" s="3"/>
      <c r="E31" s="16"/>
      <c r="F31" s="3"/>
      <c r="G31" s="3"/>
      <c r="I31" s="4"/>
      <c r="J31" s="4"/>
    </row>
    <row r="32" spans="1:10" x14ac:dyDescent="0.2">
      <c r="A32" s="3" t="s">
        <v>39</v>
      </c>
      <c r="B32" s="3"/>
      <c r="D32" s="3"/>
      <c r="E32" s="16"/>
      <c r="F32" s="3" t="s">
        <v>40</v>
      </c>
      <c r="G32" s="3"/>
      <c r="I32" s="13"/>
      <c r="J32" s="13"/>
    </row>
    <row r="33" spans="1:10" x14ac:dyDescent="0.2">
      <c r="A33" s="3" t="s">
        <v>41</v>
      </c>
      <c r="B33" s="3"/>
      <c r="D33" s="3"/>
      <c r="E33" s="306" t="s">
        <v>765</v>
      </c>
      <c r="F33" s="3"/>
      <c r="G33" s="3"/>
      <c r="I33" s="4"/>
      <c r="J33" s="4"/>
    </row>
    <row r="34" spans="1:10" ht="13.5" thickBot="1" x14ac:dyDescent="0.25">
      <c r="A34" s="3" t="s">
        <v>42</v>
      </c>
      <c r="B34" s="3"/>
      <c r="D34" s="3"/>
      <c r="E34" s="16"/>
      <c r="F34" s="3" t="s">
        <v>43</v>
      </c>
      <c r="G34" s="3"/>
      <c r="H34" s="5">
        <v>4581</v>
      </c>
      <c r="I34" s="18"/>
      <c r="J34" s="18">
        <f>SUM(J28:J33)</f>
        <v>40248</v>
      </c>
    </row>
    <row r="35" spans="1:10" ht="13.5" thickTop="1" x14ac:dyDescent="0.2">
      <c r="A35" s="3"/>
      <c r="B35" s="3"/>
      <c r="C35" s="3"/>
      <c r="D35" s="3"/>
      <c r="E35" s="3"/>
      <c r="F35" s="3"/>
      <c r="G35" s="3"/>
      <c r="H35" s="4"/>
      <c r="I35" s="4"/>
      <c r="J35" s="4"/>
    </row>
    <row r="36" spans="1:10" x14ac:dyDescent="0.2">
      <c r="A36" s="3"/>
      <c r="B36" s="3"/>
      <c r="C36" s="3"/>
      <c r="D36" s="3"/>
      <c r="E36" s="3"/>
      <c r="F36" s="3"/>
      <c r="G36" s="3"/>
      <c r="H36" s="4"/>
      <c r="I36" s="4"/>
      <c r="J36" s="4"/>
    </row>
    <row r="37" spans="1:10" x14ac:dyDescent="0.2">
      <c r="A37" s="3"/>
      <c r="B37" s="3"/>
      <c r="C37" s="3"/>
      <c r="D37" s="3"/>
      <c r="E37" s="3"/>
      <c r="F37" s="3"/>
      <c r="G37" s="3"/>
      <c r="H37" s="4"/>
      <c r="I37" s="4"/>
      <c r="J37" s="4"/>
    </row>
    <row r="38" spans="1:10" x14ac:dyDescent="0.2">
      <c r="A38" s="19" t="s">
        <v>44</v>
      </c>
      <c r="B38" s="6"/>
      <c r="C38" s="6"/>
      <c r="D38" s="20"/>
      <c r="E38" s="6"/>
      <c r="F38" s="19" t="s">
        <v>45</v>
      </c>
      <c r="G38" s="6"/>
      <c r="H38" s="7"/>
      <c r="I38" s="7"/>
      <c r="J38" s="7"/>
    </row>
    <row r="39" spans="1:10" x14ac:dyDescent="0.2">
      <c r="A39" s="3"/>
      <c r="B39" s="3"/>
      <c r="C39" s="3"/>
      <c r="D39" s="4"/>
      <c r="E39" s="3"/>
      <c r="F39" s="3"/>
      <c r="G39" s="3"/>
      <c r="H39" s="4"/>
      <c r="I39" s="4"/>
      <c r="J39" s="4"/>
    </row>
    <row r="40" spans="1:10" x14ac:dyDescent="0.2">
      <c r="A40" s="3"/>
      <c r="B40" s="3" t="s">
        <v>46</v>
      </c>
      <c r="C40" s="3"/>
      <c r="D40" s="13"/>
      <c r="E40" s="3"/>
      <c r="F40" s="3" t="s">
        <v>47</v>
      </c>
      <c r="G40" s="3"/>
      <c r="H40" s="13"/>
      <c r="I40" s="13"/>
      <c r="J40" s="13"/>
    </row>
    <row r="41" spans="1:10" x14ac:dyDescent="0.2">
      <c r="A41" s="3"/>
      <c r="B41" s="3"/>
      <c r="C41" s="3"/>
      <c r="D41" s="4"/>
      <c r="E41" s="3"/>
      <c r="F41" s="3"/>
      <c r="G41" s="3"/>
      <c r="H41" s="4"/>
      <c r="I41" s="4"/>
      <c r="J41" s="4"/>
    </row>
    <row r="42" spans="1:10" x14ac:dyDescent="0.2">
      <c r="A42" s="3"/>
      <c r="B42" s="3" t="s">
        <v>48</v>
      </c>
      <c r="C42" s="3"/>
      <c r="D42" s="13"/>
      <c r="E42" s="3"/>
      <c r="F42" s="307" t="s">
        <v>775</v>
      </c>
      <c r="G42" s="3"/>
      <c r="H42" s="13"/>
      <c r="I42" s="13"/>
      <c r="J42" s="13"/>
    </row>
    <row r="43" spans="1:10" x14ac:dyDescent="0.2">
      <c r="A43" s="3"/>
      <c r="B43" s="3"/>
      <c r="C43" s="3"/>
      <c r="D43" s="4"/>
      <c r="E43" s="3"/>
      <c r="F43" s="3"/>
      <c r="G43" s="3"/>
      <c r="H43" s="4"/>
      <c r="I43" s="4"/>
      <c r="J43" s="4"/>
    </row>
    <row r="44" spans="1:10" x14ac:dyDescent="0.2">
      <c r="A44" s="3"/>
      <c r="B44" s="3" t="s">
        <v>49</v>
      </c>
      <c r="C44" s="3"/>
      <c r="D44" s="13"/>
      <c r="E44" s="3"/>
      <c r="F44" s="3" t="s">
        <v>50</v>
      </c>
      <c r="G44" s="3"/>
      <c r="H44" s="13"/>
      <c r="I44" s="13"/>
      <c r="J44" s="13"/>
    </row>
    <row r="45" spans="1:10" x14ac:dyDescent="0.2">
      <c r="A45" s="3"/>
      <c r="B45" s="3"/>
      <c r="C45" s="3"/>
      <c r="D45" s="4"/>
      <c r="E45" s="3"/>
      <c r="F45" s="3"/>
      <c r="G45" s="3"/>
      <c r="H45" s="4"/>
      <c r="I45" s="4"/>
      <c r="J45" s="4"/>
    </row>
    <row r="46" spans="1:10" x14ac:dyDescent="0.2">
      <c r="A46" s="3"/>
      <c r="B46" s="3" t="s">
        <v>51</v>
      </c>
      <c r="C46" s="3"/>
      <c r="D46" s="13">
        <v>40248</v>
      </c>
      <c r="E46" s="3"/>
      <c r="F46" s="3" t="s">
        <v>52</v>
      </c>
      <c r="G46" s="3"/>
      <c r="H46" s="13"/>
      <c r="I46" s="13"/>
      <c r="J46" s="13"/>
    </row>
    <row r="47" spans="1:10" x14ac:dyDescent="0.2">
      <c r="A47" s="3"/>
      <c r="B47" s="3" t="s">
        <v>53</v>
      </c>
      <c r="C47" s="3"/>
      <c r="D47" s="4"/>
      <c r="E47" s="3"/>
      <c r="F47" s="3"/>
      <c r="G47" s="3"/>
      <c r="H47" s="4"/>
      <c r="I47" s="4"/>
      <c r="J47" s="4"/>
    </row>
    <row r="48" spans="1:10" x14ac:dyDescent="0.2">
      <c r="A48" s="3"/>
      <c r="B48" s="12" t="s">
        <v>54</v>
      </c>
      <c r="C48" s="3"/>
      <c r="D48" s="13"/>
      <c r="E48" s="3"/>
      <c r="F48" s="3" t="s">
        <v>55</v>
      </c>
      <c r="G48" s="3"/>
      <c r="H48" s="13"/>
      <c r="I48" s="13"/>
      <c r="J48" s="13"/>
    </row>
    <row r="49" spans="1:10" x14ac:dyDescent="0.2">
      <c r="A49" s="3"/>
      <c r="B49" s="3"/>
      <c r="C49" s="3"/>
      <c r="D49" s="4"/>
      <c r="E49" s="3"/>
      <c r="F49" s="3"/>
      <c r="G49" s="3"/>
      <c r="H49" s="4"/>
      <c r="I49" s="4"/>
      <c r="J49" s="4"/>
    </row>
    <row r="50" spans="1:10" x14ac:dyDescent="0.2">
      <c r="A50" s="3"/>
      <c r="B50" s="12"/>
      <c r="C50" s="3"/>
      <c r="D50" s="13"/>
      <c r="E50" s="3"/>
      <c r="F50" s="3" t="s">
        <v>56</v>
      </c>
      <c r="G50" s="3"/>
      <c r="H50" s="4"/>
      <c r="I50" s="4"/>
      <c r="J50" s="4"/>
    </row>
    <row r="51" spans="1:10" x14ac:dyDescent="0.2">
      <c r="A51" s="3"/>
      <c r="B51" s="3"/>
      <c r="C51" s="3"/>
      <c r="D51" s="4"/>
      <c r="E51" s="3"/>
      <c r="F51" s="3" t="s">
        <v>57</v>
      </c>
      <c r="G51" s="3"/>
      <c r="H51" s="12"/>
      <c r="I51" s="12"/>
      <c r="J51" s="12"/>
    </row>
    <row r="52" spans="1:10" x14ac:dyDescent="0.2">
      <c r="A52" s="3"/>
      <c r="B52" s="12"/>
      <c r="C52" s="3"/>
      <c r="D52" s="13"/>
      <c r="E52" s="3"/>
      <c r="F52" s="3"/>
      <c r="G52" s="3"/>
      <c r="H52" s="4"/>
      <c r="I52" s="4"/>
      <c r="J52" s="4"/>
    </row>
    <row r="53" spans="1:10" x14ac:dyDescent="0.2">
      <c r="A53" s="3"/>
      <c r="B53" s="3"/>
      <c r="C53" s="3"/>
      <c r="D53" s="4"/>
      <c r="E53" s="3"/>
      <c r="F53" s="3" t="s">
        <v>58</v>
      </c>
      <c r="G53" s="3"/>
      <c r="H53" s="13"/>
      <c r="I53" s="13"/>
      <c r="J53" s="13">
        <v>40248</v>
      </c>
    </row>
    <row r="54" spans="1:10" x14ac:dyDescent="0.2">
      <c r="A54" s="3"/>
      <c r="B54" s="12"/>
      <c r="C54" s="3"/>
      <c r="D54" s="13"/>
      <c r="E54" s="3"/>
      <c r="F54" s="3"/>
      <c r="G54" s="3"/>
      <c r="H54" s="4"/>
      <c r="I54" s="4"/>
      <c r="J54" s="4"/>
    </row>
    <row r="55" spans="1:10" x14ac:dyDescent="0.2">
      <c r="A55" s="3"/>
      <c r="B55" s="3"/>
      <c r="C55" s="3"/>
      <c r="D55" s="4"/>
      <c r="E55" s="3"/>
      <c r="F55" s="3" t="s">
        <v>59</v>
      </c>
      <c r="G55" s="3"/>
      <c r="H55" s="4"/>
      <c r="I55" s="4"/>
      <c r="J55" s="4"/>
    </row>
    <row r="56" spans="1:10" x14ac:dyDescent="0.2">
      <c r="A56" s="3"/>
      <c r="B56" s="12"/>
      <c r="C56" s="3"/>
      <c r="D56" s="13"/>
      <c r="E56" s="3"/>
      <c r="F56" s="3" t="s">
        <v>60</v>
      </c>
      <c r="G56" s="3"/>
      <c r="H56" s="13"/>
      <c r="I56" s="13"/>
      <c r="J56" s="13"/>
    </row>
    <row r="57" spans="1:10" x14ac:dyDescent="0.2">
      <c r="A57" s="3"/>
      <c r="B57" s="3"/>
      <c r="C57" s="3"/>
      <c r="D57" s="4"/>
      <c r="E57" s="3"/>
      <c r="F57" s="3"/>
      <c r="G57" s="3"/>
      <c r="H57" s="4"/>
      <c r="I57" s="4"/>
      <c r="J57" s="4"/>
    </row>
    <row r="58" spans="1:10" ht="13.5" thickBot="1" x14ac:dyDescent="0.25">
      <c r="A58" s="3"/>
      <c r="B58" s="3" t="s">
        <v>43</v>
      </c>
      <c r="C58" s="3"/>
      <c r="D58" s="18">
        <f>SUM(D40:D57)</f>
        <v>40248</v>
      </c>
      <c r="E58" s="3"/>
      <c r="F58" s="3" t="s">
        <v>43</v>
      </c>
      <c r="G58" s="3"/>
      <c r="I58" s="18"/>
      <c r="J58" s="305">
        <v>40248</v>
      </c>
    </row>
    <row r="59" spans="1:10" ht="13.5" thickTop="1" x14ac:dyDescent="0.2"/>
  </sheetData>
  <phoneticPr fontId="0" type="noConversion"/>
  <pageMargins left="0.63" right="0.49" top="0.47" bottom="0.5" header="0.23" footer="0.17"/>
  <pageSetup scale="85"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 CATEGORY</vt:lpstr>
      <vt:lpstr>Summary</vt:lpstr>
      <vt:lpstr>Personnel Costs</vt:lpstr>
      <vt:lpstr>Personnel Requests</vt:lpstr>
      <vt:lpstr>Misc</vt:lpstr>
      <vt:lpstr>Equipment</vt:lpstr>
      <vt:lpstr>Capital Improv</vt:lpstr>
      <vt:lpstr>Sheet1</vt:lpstr>
      <vt:lpstr>Equipment!Print_Area</vt:lpstr>
      <vt:lpstr>Misc!Print_Area</vt:lpstr>
      <vt:lpstr>'Personnel Costs'!Print_Titles</vt:lpstr>
      <vt:lpstr>'Personnel Requests'!Print_Titles</vt:lpstr>
    </vt:vector>
  </TitlesOfParts>
  <Company>Weber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dolsen</dc:creator>
  <cp:lastModifiedBy>Olsen, Daniel</cp:lastModifiedBy>
  <cp:lastPrinted>2013-09-04T20:27:04Z</cp:lastPrinted>
  <dcterms:created xsi:type="dcterms:W3CDTF">2004-07-30T16:53:43Z</dcterms:created>
  <dcterms:modified xsi:type="dcterms:W3CDTF">2013-09-25T15:55:52Z</dcterms:modified>
</cp:coreProperties>
</file>